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fileSharing readOnlyRecommended="1"/>
  <workbookPr filterPrivacy="1"/>
  <xr:revisionPtr revIDLastSave="0" documentId="8_{005B13B4-7D38-4DEE-9290-EB098BEC88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ms of Use" sheetId="6" r:id="rId1"/>
    <sheet name="Paint Examples" sheetId="8" r:id="rId2"/>
    <sheet name="Simple Value Models" sheetId="1" r:id="rId3"/>
    <sheet name="Other Value Models" sheetId="4" r:id="rId4"/>
    <sheet name="Value Roadmap" sheetId="3" r:id="rId5"/>
    <sheet name="Upgrades Value Model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8" l="1"/>
  <c r="D28" i="8"/>
  <c r="E23" i="8"/>
  <c r="E30" i="8" s="1"/>
  <c r="D23" i="8"/>
  <c r="D30" i="8" s="1"/>
  <c r="E11" i="8"/>
  <c r="D11" i="8"/>
  <c r="E6" i="8"/>
  <c r="D6" i="8"/>
  <c r="D13" i="8" l="1"/>
  <c r="D15" i="8" s="1"/>
  <c r="E13" i="8"/>
  <c r="E15" i="8" s="1"/>
  <c r="J8" i="3"/>
  <c r="J11" i="3"/>
  <c r="J12" i="3" s="1"/>
  <c r="J15" i="3" s="1"/>
  <c r="F8" i="3"/>
  <c r="F11" i="3" s="1"/>
  <c r="F12" i="3" s="1"/>
  <c r="F15" i="3" s="1"/>
  <c r="G8" i="3"/>
  <c r="G11" i="3" s="1"/>
  <c r="G12" i="3" s="1"/>
  <c r="G15" i="3" s="1"/>
  <c r="I8" i="3"/>
  <c r="I11" i="3" s="1"/>
  <c r="I12" i="3" s="1"/>
  <c r="I15" i="3" s="1"/>
  <c r="H8" i="3"/>
  <c r="H11" i="3" s="1"/>
  <c r="H12" i="3" s="1"/>
  <c r="H15" i="3" s="1"/>
  <c r="E8" i="3"/>
  <c r="E11" i="3" s="1"/>
  <c r="E12" i="3" s="1"/>
  <c r="E15" i="3" s="1"/>
  <c r="E17" i="3" l="1"/>
  <c r="J17" i="3"/>
  <c r="G17" i="3"/>
  <c r="I17" i="3"/>
  <c r="F17" i="3"/>
  <c r="H17" i="3"/>
  <c r="F28" i="1"/>
  <c r="E28" i="1"/>
  <c r="F21" i="1"/>
  <c r="F24" i="1" s="1"/>
  <c r="F25" i="1" s="1"/>
  <c r="E21" i="1"/>
  <c r="E24" i="1" s="1"/>
  <c r="E25" i="1" s="1"/>
  <c r="F76" i="1"/>
  <c r="F70" i="1"/>
  <c r="F73" i="1" s="1"/>
  <c r="F74" i="1" s="1"/>
  <c r="E70" i="1"/>
  <c r="E73" i="1" s="1"/>
  <c r="E74" i="1" s="1"/>
  <c r="E77" i="1" s="1"/>
  <c r="E79" i="1" s="1"/>
  <c r="E81" i="1" s="1"/>
  <c r="E84" i="1" s="1"/>
  <c r="F13" i="1"/>
  <c r="E6" i="7"/>
  <c r="F6" i="1"/>
  <c r="F9" i="1" s="1"/>
  <c r="F10" i="1" s="1"/>
  <c r="E6" i="1"/>
  <c r="E9" i="1" s="1"/>
  <c r="E10" i="1" s="1"/>
  <c r="G19" i="3" l="1"/>
  <c r="F19" i="3"/>
  <c r="E19" i="3"/>
  <c r="F29" i="1"/>
  <c r="E29" i="1"/>
  <c r="E31" i="1" s="1"/>
  <c r="F14" i="1"/>
  <c r="E14" i="1" s="1"/>
  <c r="E13" i="1" s="1"/>
  <c r="E12" i="1" s="1"/>
  <c r="F77" i="1"/>
  <c r="F79" i="1" s="1"/>
  <c r="F81" i="1" s="1"/>
  <c r="F84" i="1" s="1"/>
  <c r="E86" i="1" s="1"/>
  <c r="E8" i="7"/>
  <c r="E14" i="7" s="1"/>
  <c r="F59" i="1"/>
  <c r="F53" i="1"/>
  <c r="F56" i="1" s="1"/>
  <c r="F57" i="1" s="1"/>
  <c r="E53" i="1"/>
  <c r="E56" i="1" s="1"/>
  <c r="E57" i="1" s="1"/>
  <c r="E60" i="1" s="1"/>
  <c r="E62" i="1" s="1"/>
  <c r="E16" i="1" l="1"/>
  <c r="F15" i="7"/>
  <c r="F60" i="1"/>
  <c r="F62" i="1" s="1"/>
  <c r="E64" i="1" s="1"/>
  <c r="F81" i="4"/>
  <c r="F80" i="4"/>
  <c r="E80" i="4"/>
  <c r="E84" i="4" s="1"/>
  <c r="E15" i="7" l="1"/>
  <c r="E20" i="7" s="1"/>
  <c r="E21" i="7"/>
  <c r="F20" i="7"/>
  <c r="F22" i="7" s="1"/>
  <c r="F84" i="4"/>
  <c r="E86" i="4" s="1"/>
  <c r="F50" i="4"/>
  <c r="F53" i="4" s="1"/>
  <c r="E53" i="4"/>
  <c r="E54" i="4" s="1"/>
  <c r="E57" i="4" s="1"/>
  <c r="E58" i="4" s="1"/>
  <c r="F64" i="4"/>
  <c r="E64" i="4"/>
  <c r="E66" i="4" l="1"/>
  <c r="E68" i="4" s="1"/>
  <c r="F66" i="4"/>
  <c r="F68" i="4" s="1"/>
  <c r="E22" i="7"/>
  <c r="E23" i="7" s="1"/>
  <c r="F54" i="4"/>
  <c r="F57" i="4" s="1"/>
  <c r="F58" i="4" s="1"/>
  <c r="F60" i="4" s="1"/>
  <c r="E60" i="4"/>
  <c r="E70" i="4" l="1"/>
  <c r="F70" i="4"/>
  <c r="E72" i="4"/>
  <c r="F28" i="4"/>
  <c r="F31" i="4" s="1"/>
  <c r="F32" i="4" s="1"/>
  <c r="F34" i="4" s="1"/>
  <c r="E28" i="4"/>
  <c r="E31" i="4" s="1"/>
  <c r="E32" i="4" s="1"/>
  <c r="E34" i="4" s="1"/>
  <c r="F38" i="4"/>
  <c r="F40" i="4" s="1"/>
  <c r="F42" i="4" s="1"/>
  <c r="E38" i="4"/>
  <c r="E40" i="4" s="1"/>
  <c r="E42" i="4" s="1"/>
  <c r="F13" i="4"/>
  <c r="F15" i="4" s="1"/>
  <c r="F17" i="4" s="1"/>
  <c r="E13" i="4"/>
  <c r="E15" i="4" s="1"/>
  <c r="E17" i="4" s="1"/>
  <c r="F9" i="4"/>
  <c r="E9" i="4"/>
  <c r="E19" i="4" l="1"/>
  <c r="E44" i="4"/>
  <c r="F44" i="4"/>
  <c r="F19" i="4"/>
  <c r="E21" i="4" s="1"/>
  <c r="E46" i="4" l="1"/>
  <c r="F42" i="1"/>
  <c r="F36" i="1"/>
  <c r="F39" i="1" s="1"/>
  <c r="F40" i="1" s="1"/>
  <c r="E36" i="1"/>
  <c r="E39" i="1" s="1"/>
  <c r="E40" i="1" s="1"/>
  <c r="E43" i="1" l="1"/>
  <c r="E45" i="1" s="1"/>
  <c r="F43" i="1"/>
  <c r="F45" i="1" s="1"/>
  <c r="E47" i="1" l="1"/>
</calcChain>
</file>

<file path=xl/sharedStrings.xml><?xml version="1.0" encoding="utf-8"?>
<sst xmlns="http://schemas.openxmlformats.org/spreadsheetml/2006/main" count="340" uniqueCount="148">
  <si>
    <t>Mr. Melty</t>
  </si>
  <si>
    <t>Competitor</t>
  </si>
  <si>
    <t>Charge size</t>
  </si>
  <si>
    <t>kg</t>
  </si>
  <si>
    <t>Process time</t>
  </si>
  <si>
    <t>hrs</t>
  </si>
  <si>
    <t>Max throughput</t>
  </si>
  <si>
    <t>kg/hr</t>
  </si>
  <si>
    <t>Mass ingot yield</t>
  </si>
  <si>
    <t>Yielded throughput</t>
  </si>
  <si>
    <t>kg/yr</t>
  </si>
  <si>
    <t>System price</t>
  </si>
  <si>
    <t>$US</t>
  </si>
  <si>
    <t>Target annual capacity</t>
  </si>
  <si>
    <t>Number of systems needed</t>
  </si>
  <si>
    <t>Now</t>
  </si>
  <si>
    <t>N+1</t>
  </si>
  <si>
    <t>Total capital expense</t>
  </si>
  <si>
    <t>Difference</t>
  </si>
  <si>
    <t>Your Equipment</t>
  </si>
  <si>
    <t>Competitor’s Equipment</t>
  </si>
  <si>
    <t>Units</t>
  </si>
  <si>
    <t>Watts</t>
  </si>
  <si>
    <t>$</t>
  </si>
  <si>
    <t>$M</t>
  </si>
  <si>
    <t>M</t>
  </si>
  <si>
    <t>All other equipment</t>
  </si>
  <si>
    <t>Total equipment cost</t>
  </si>
  <si>
    <t>Total cost of goods sold</t>
  </si>
  <si>
    <t>Total gross profit</t>
  </si>
  <si>
    <t>Defect frequency</t>
  </si>
  <si>
    <t>Time to resolve defect</t>
  </si>
  <si>
    <t>Days</t>
  </si>
  <si>
    <t>%</t>
  </si>
  <si>
    <t>Net capacity cells/year</t>
  </si>
  <si>
    <t>N/A</t>
  </si>
  <si>
    <t>Year 2</t>
  </si>
  <si>
    <t>Year 5</t>
  </si>
  <si>
    <t>Total revenue</t>
  </si>
  <si>
    <t>Price per cell</t>
  </si>
  <si>
    <t>Factory downtime</t>
  </si>
  <si>
    <t>Total development time</t>
  </si>
  <si>
    <t>#</t>
  </si>
  <si>
    <t>Months</t>
  </si>
  <si>
    <t>Design iterations</t>
  </si>
  <si>
    <t>Time to develop (each)</t>
  </si>
  <si>
    <t>Time to analyze (each)</t>
  </si>
  <si>
    <t>Target factory capacity</t>
  </si>
  <si>
    <t>Throughput process A</t>
  </si>
  <si>
    <t>Throughput process B</t>
  </si>
  <si>
    <t>New systems for process A</t>
  </si>
  <si>
    <t>New systems for process B</t>
  </si>
  <si>
    <t>kU/yr</t>
  </si>
  <si>
    <t>Downtime/year</t>
  </si>
  <si>
    <t>$/yr</t>
  </si>
  <si>
    <t>Current State</t>
  </si>
  <si>
    <t>Scenario</t>
  </si>
  <si>
    <t>Current Capacity</t>
  </si>
  <si>
    <t>Target Fab Capacity</t>
  </si>
  <si>
    <t>Additional Capacity Required</t>
  </si>
  <si>
    <t>Units/Hr</t>
  </si>
  <si>
    <t>Total Capital Expense</t>
  </si>
  <si>
    <t>Savings</t>
  </si>
  <si>
    <t>Competition</t>
  </si>
  <si>
    <t>System Throughput</t>
  </si>
  <si>
    <t>Units/hr</t>
  </si>
  <si>
    <t>New Systems</t>
  </si>
  <si>
    <t>New System Price</t>
  </si>
  <si>
    <t>$K</t>
  </si>
  <si>
    <t>Upgrade Price</t>
  </si>
  <si>
    <t>EquipCo</t>
  </si>
  <si>
    <t>Upgrade Investment</t>
  </si>
  <si>
    <t>Gen I 25-UPH Upgrades</t>
  </si>
  <si>
    <t>New System Investment</t>
  </si>
  <si>
    <t>Current System Installed Base</t>
  </si>
  <si>
    <t>Installed Base Throughput</t>
  </si>
  <si>
    <t>Depreciation expense/kg</t>
  </si>
  <si>
    <t>Depreciation expense (5yr)</t>
  </si>
  <si>
    <t>All other operating costs</t>
  </si>
  <si>
    <t xml:space="preserve">Mr. Melty </t>
  </si>
  <si>
    <t>$M/yr</t>
  </si>
  <si>
    <t>Selling price</t>
  </si>
  <si>
    <t>$/watt</t>
  </si>
  <si>
    <t>Revenue</t>
  </si>
  <si>
    <t>$/cell</t>
  </si>
  <si>
    <t>Throughput</t>
  </si>
  <si>
    <t>Mcells/yr</t>
  </si>
  <si>
    <t>Watts/cell</t>
  </si>
  <si>
    <t>#/year</t>
  </si>
  <si>
    <t>Days/yr</t>
  </si>
  <si>
    <t xml:space="preserve">Gross capacity </t>
  </si>
  <si>
    <t xml:space="preserve">Defect processing equipment </t>
  </si>
  <si>
    <t>Mcells</t>
  </si>
  <si>
    <t>Depreciation expense (5 year)</t>
  </si>
  <si>
    <t xml:space="preserve">Cost for your equipment </t>
  </si>
  <si>
    <t xml:space="preserve">Monthly factory capacity </t>
  </si>
  <si>
    <r>
      <t>Depreciation (5 year, 1</t>
    </r>
    <r>
      <rPr>
        <vertAlign val="superscript"/>
        <sz val="10"/>
        <color theme="1"/>
        <rFont val="Maiandra GD"/>
        <family val="2"/>
      </rPr>
      <t>st</t>
    </r>
    <r>
      <rPr>
        <sz val="10"/>
        <color theme="1"/>
        <rFont val="Maiandra GD"/>
        <family val="2"/>
      </rPr>
      <t xml:space="preserve"> 3 years)</t>
    </r>
  </si>
  <si>
    <r>
      <t>All other costs (1</t>
    </r>
    <r>
      <rPr>
        <vertAlign val="superscript"/>
        <sz val="10"/>
        <color theme="1"/>
        <rFont val="Maiandra GD"/>
        <family val="2"/>
      </rPr>
      <t xml:space="preserve">st </t>
    </r>
    <r>
      <rPr>
        <sz val="10"/>
        <color theme="1"/>
        <rFont val="Maiandra GD"/>
        <family val="2"/>
      </rPr>
      <t>3 years)</t>
    </r>
  </si>
  <si>
    <r>
      <t>Total cost (1</t>
    </r>
    <r>
      <rPr>
        <vertAlign val="superscript"/>
        <sz val="10"/>
        <color theme="1"/>
        <rFont val="Maiandra GD"/>
        <family val="2"/>
      </rPr>
      <t>st</t>
    </r>
    <r>
      <rPr>
        <sz val="10"/>
        <color theme="1"/>
        <rFont val="Maiandra GD"/>
        <family val="2"/>
      </rPr>
      <t xml:space="preserve"> 3 years)</t>
    </r>
  </si>
  <si>
    <r>
      <t>Total gross profit (1</t>
    </r>
    <r>
      <rPr>
        <vertAlign val="superscript"/>
        <sz val="10"/>
        <color theme="1"/>
        <rFont val="Maiandra GD"/>
        <family val="2"/>
      </rPr>
      <t>st</t>
    </r>
    <r>
      <rPr>
        <sz val="10"/>
        <color theme="1"/>
        <rFont val="Maiandra GD"/>
        <family val="2"/>
      </rPr>
      <t xml:space="preserve"> 3 years)</t>
    </r>
  </si>
  <si>
    <r>
      <t>Total revenue (1</t>
    </r>
    <r>
      <rPr>
        <vertAlign val="superscript"/>
        <sz val="10"/>
        <color theme="1"/>
        <rFont val="Maiandra GD"/>
        <family val="2"/>
      </rPr>
      <t xml:space="preserve">st </t>
    </r>
    <r>
      <rPr>
        <sz val="10"/>
        <color theme="1"/>
        <rFont val="Maiandra GD"/>
        <family val="2"/>
      </rPr>
      <t>3 years)</t>
    </r>
  </si>
  <si>
    <r>
      <t>Cell produced (1</t>
    </r>
    <r>
      <rPr>
        <vertAlign val="superscript"/>
        <sz val="10"/>
        <color theme="1"/>
        <rFont val="Maiandra GD"/>
        <family val="2"/>
      </rPr>
      <t>st</t>
    </r>
    <r>
      <rPr>
        <sz val="10"/>
        <color theme="1"/>
        <rFont val="Maiandra GD"/>
        <family val="2"/>
      </rPr>
      <t xml:space="preserve"> 3 years)</t>
    </r>
  </si>
  <si>
    <r>
      <t>Months in production (1</t>
    </r>
    <r>
      <rPr>
        <vertAlign val="superscript"/>
        <sz val="10"/>
        <color theme="1"/>
        <rFont val="Maiandra GD"/>
        <family val="2"/>
      </rPr>
      <t>st</t>
    </r>
    <r>
      <rPr>
        <sz val="10"/>
        <color theme="1"/>
        <rFont val="Maiandra GD"/>
        <family val="2"/>
      </rPr>
      <t xml:space="preserve"> 3 years)</t>
    </r>
  </si>
  <si>
    <t>Your equipment</t>
  </si>
  <si>
    <t>Total equipment captial expense</t>
  </si>
  <si>
    <t>Total operating costs</t>
  </si>
  <si>
    <t>Mkg/yr</t>
  </si>
  <si>
    <t>Systems needed</t>
  </si>
  <si>
    <t>Capacity needed</t>
  </si>
  <si>
    <t>N+2</t>
  </si>
  <si>
    <t>Brand A</t>
  </si>
  <si>
    <t>Brand B</t>
  </si>
  <si>
    <t>Gallons of paint</t>
  </si>
  <si>
    <t>Price/gallon</t>
  </si>
  <si>
    <t>Total paint cost</t>
  </si>
  <si>
    <t>Hours to paint one coat</t>
  </si>
  <si>
    <t>Total coats</t>
  </si>
  <si>
    <t>Cost/hour</t>
  </si>
  <si>
    <t>Total labor cost</t>
  </si>
  <si>
    <t>Total cost to paint one time</t>
  </si>
  <si>
    <t>Paint jobs required over ten years</t>
  </si>
  <si>
    <t>Total 10-year cost</t>
  </si>
  <si>
    <t>Item</t>
  </si>
  <si>
    <t>Total cost to prepare the house for sale</t>
  </si>
  <si>
    <t>Power cost</t>
  </si>
  <si>
    <t>All other costs of goods</t>
  </si>
  <si>
    <t xml:space="preserve">For original content: </t>
  </si>
  <si>
    <t xml:space="preserve">For derivative content: </t>
  </si>
  <si>
    <t>You are free to share, copy, adapt, and build upon the content in this file, provided you include appropriate attribution such as:</t>
  </si>
  <si>
    <t>This is a summary of and not a substitute for the License.</t>
  </si>
  <si>
    <t>The content in this file is licensed under a Creative Commons Attribution 4.0 International license (CC BY 4.0)</t>
  </si>
  <si>
    <t>Terms of Use</t>
  </si>
  <si>
    <t>Source: “Essential Value Models” by Michael Chase, CC BY 4.0</t>
  </si>
  <si>
    <t>Adapted from: “Essential Value Models” by Michael Chase, CC BY 4.0</t>
  </si>
  <si>
    <t>Creative Commons Attribution 4.0 International license (CC BY 4.0)</t>
  </si>
  <si>
    <t>Figure 56: Systems + Installed Base Upgrade Value Model</t>
  </si>
  <si>
    <t>Figure 47: Value Roadmap</t>
  </si>
  <si>
    <t>Figure 28: Adjacent Effects</t>
  </si>
  <si>
    <t>Figure 30: Defect Processing</t>
  </si>
  <si>
    <t>Figure 32: Time to Profit</t>
  </si>
  <si>
    <t>Figure 34: Capital Life</t>
  </si>
  <si>
    <t>Figure 35: Expected Price</t>
  </si>
  <si>
    <t>Figure 24 and 36 Fixed Capacity at List Price</t>
  </si>
  <si>
    <t>Figure 23 Fixed Number of Systems</t>
  </si>
  <si>
    <t>Figure 18: Homeowner Preparing to Sell</t>
  </si>
  <si>
    <t>Not in Book: Full Market Value</t>
  </si>
  <si>
    <t>Figure 25: With Operatng Costs</t>
  </si>
  <si>
    <t>Figure 17: Homeowner Planning to 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</si>
</sst>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u/>
      <sz val="11"/>
      <color theme="10"/>
      <name val="Calibri"/>
      <family val="2"/>
      <scheme val="minor"/>
    </font>
    <font>
      <vertAlign val="superscript"/>
      <sz val="10"/>
      <color theme="1"/>
      <name val="Maiandra GD"/>
      <family val="2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sz val="11.5"/>
      <color theme="1"/>
      <name val="Garamond"/>
      <family val="1"/>
    </font>
    <font>
      <b/>
      <sz val="11"/>
      <color theme="1"/>
      <name val="Calibri"/>
      <family val="2"/>
      <scheme val="minor"/>
    </font>
    <font>
      <u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 indent="1"/>
    </xf>
    <xf numFmtId="0" fontId="2" fillId="2" borderId="0" xfId="0" applyFont="1" applyFill="1" applyAlignment="1">
      <alignment horizontal="right" vertical="center" wrapText="1" inden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165" fontId="2" fillId="2" borderId="0" xfId="1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1" fontId="2" fillId="2" borderId="0" xfId="0" applyNumberFormat="1" applyFont="1" applyFill="1" applyAlignment="1">
      <alignment horizontal="right" vertical="center" wrapText="1"/>
    </xf>
    <xf numFmtId="9" fontId="2" fillId="2" borderId="0" xfId="2" applyFont="1" applyFill="1" applyAlignment="1">
      <alignment horizontal="right" vertical="center" wrapText="1"/>
    </xf>
    <xf numFmtId="165" fontId="2" fillId="2" borderId="0" xfId="1" applyNumberFormat="1" applyFont="1" applyFill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9" fontId="2" fillId="2" borderId="3" xfId="0" applyNumberFormat="1" applyFont="1" applyFill="1" applyBorder="1" applyAlignment="1">
      <alignment horizontal="right" vertical="center" wrapText="1"/>
    </xf>
    <xf numFmtId="166" fontId="2" fillId="2" borderId="0" xfId="1" applyNumberFormat="1" applyFont="1" applyFill="1" applyBorder="1" applyAlignment="1">
      <alignment horizontal="right" vertical="center" wrapText="1"/>
    </xf>
    <xf numFmtId="167" fontId="2" fillId="2" borderId="0" xfId="0" applyNumberFormat="1" applyFont="1" applyFill="1" applyAlignment="1">
      <alignment horizontal="right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43" fontId="0" fillId="2" borderId="0" xfId="0" applyNumberFormat="1" applyFill="1"/>
    <xf numFmtId="0" fontId="2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0" applyNumberFormat="1" applyFont="1" applyFill="1"/>
    <xf numFmtId="9" fontId="2" fillId="2" borderId="0" xfId="0" applyNumberFormat="1" applyFont="1" applyFill="1" applyAlignment="1">
      <alignment horizontal="right" vertical="center" wrapText="1"/>
    </xf>
    <xf numFmtId="9" fontId="2" fillId="2" borderId="3" xfId="2" applyFont="1" applyFill="1" applyBorder="1"/>
    <xf numFmtId="165" fontId="2" fillId="2" borderId="0" xfId="0" applyNumberFormat="1" applyFont="1" applyFill="1" applyAlignment="1">
      <alignment horizontal="right"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right" wrapText="1"/>
    </xf>
    <xf numFmtId="165" fontId="2" fillId="2" borderId="0" xfId="1" applyNumberFormat="1" applyFont="1" applyFill="1" applyBorder="1" applyAlignment="1">
      <alignment horizontal="right" vertical="center" wrapText="1" inden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right" vertical="center" wrapText="1" indent="1"/>
    </xf>
    <xf numFmtId="165" fontId="2" fillId="2" borderId="0" xfId="0" applyNumberFormat="1" applyFont="1" applyFill="1" applyAlignment="1">
      <alignment horizontal="right" vertical="center" wrapText="1" indent="1"/>
    </xf>
    <xf numFmtId="166" fontId="2" fillId="2" borderId="0" xfId="1" applyNumberFormat="1" applyFont="1" applyFill="1" applyBorder="1" applyAlignment="1">
      <alignment horizontal="right" vertical="center" wrapText="1" indent="1"/>
    </xf>
    <xf numFmtId="9" fontId="2" fillId="2" borderId="0" xfId="2" applyFont="1" applyFill="1" applyBorder="1" applyAlignment="1">
      <alignment horizontal="right" vertical="center" wrapText="1" indent="1"/>
    </xf>
    <xf numFmtId="166" fontId="2" fillId="2" borderId="4" xfId="1" applyNumberFormat="1" applyFont="1" applyFill="1" applyBorder="1" applyAlignment="1">
      <alignment horizontal="right" vertical="center" wrapText="1" indent="1"/>
    </xf>
    <xf numFmtId="164" fontId="2" fillId="2" borderId="0" xfId="0" applyNumberFormat="1" applyFont="1" applyFill="1" applyAlignment="1">
      <alignment horizontal="right" vertical="center" wrapText="1" indent="1"/>
    </xf>
    <xf numFmtId="166" fontId="2" fillId="2" borderId="4" xfId="0" applyNumberFormat="1" applyFont="1" applyFill="1" applyBorder="1" applyAlignment="1">
      <alignment horizontal="right" vertical="center" wrapText="1" indent="1"/>
    </xf>
    <xf numFmtId="164" fontId="2" fillId="2" borderId="4" xfId="0" applyNumberFormat="1" applyFont="1" applyFill="1" applyBorder="1" applyAlignment="1">
      <alignment horizontal="right" vertical="center" wrapText="1" indent="1"/>
    </xf>
    <xf numFmtId="166" fontId="2" fillId="2" borderId="0" xfId="0" applyNumberFormat="1" applyFont="1" applyFill="1" applyAlignment="1">
      <alignment horizontal="right" vertical="center" wrapText="1" indent="1"/>
    </xf>
    <xf numFmtId="165" fontId="2" fillId="2" borderId="0" xfId="2" applyNumberFormat="1" applyFont="1" applyFill="1" applyBorder="1" applyAlignment="1">
      <alignment horizontal="right" vertical="center" wrapText="1" indent="1"/>
    </xf>
    <xf numFmtId="1" fontId="2" fillId="2" borderId="0" xfId="0" applyNumberFormat="1" applyFont="1" applyFill="1" applyAlignment="1">
      <alignment horizontal="right" vertical="center" wrapText="1" indent="1"/>
    </xf>
    <xf numFmtId="1" fontId="2" fillId="2" borderId="4" xfId="0" applyNumberFormat="1" applyFont="1" applyFill="1" applyBorder="1" applyAlignment="1">
      <alignment horizontal="right" vertical="center" wrapText="1" indent="1"/>
    </xf>
    <xf numFmtId="0" fontId="2" fillId="2" borderId="0" xfId="0" applyFont="1" applyFill="1" applyAlignment="1">
      <alignment horizontal="left"/>
    </xf>
    <xf numFmtId="165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165" fontId="2" fillId="2" borderId="5" xfId="1" applyNumberFormat="1" applyFont="1" applyFill="1" applyBorder="1"/>
    <xf numFmtId="165" fontId="2" fillId="2" borderId="0" xfId="1" applyNumberFormat="1" applyFont="1" applyFill="1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165" fontId="2" fillId="2" borderId="4" xfId="1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9" fontId="2" fillId="2" borderId="3" xfId="2" applyFont="1" applyFill="1" applyBorder="1" applyAlignment="1">
      <alignment horizontal="right" vertical="center" wrapText="1" indent="1"/>
    </xf>
    <xf numFmtId="43" fontId="2" fillId="2" borderId="0" xfId="0" applyNumberFormat="1" applyFont="1" applyFill="1"/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65" fontId="2" fillId="2" borderId="5" xfId="1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" fontId="2" fillId="2" borderId="5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wrapText="1"/>
    </xf>
    <xf numFmtId="165" fontId="2" fillId="2" borderId="0" xfId="1" applyNumberFormat="1" applyFont="1" applyFill="1" applyAlignment="1">
      <alignment horizontal="left" indent="1"/>
    </xf>
    <xf numFmtId="0" fontId="2" fillId="2" borderId="1" xfId="0" applyFont="1" applyFill="1" applyBorder="1" applyAlignment="1">
      <alignment horizontal="center"/>
    </xf>
    <xf numFmtId="41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 vertical="center" wrapText="1"/>
    </xf>
    <xf numFmtId="9" fontId="2" fillId="2" borderId="1" xfId="2" applyFont="1" applyFill="1" applyBorder="1"/>
    <xf numFmtId="1" fontId="2" fillId="2" borderId="8" xfId="0" applyNumberFormat="1" applyFont="1" applyFill="1" applyBorder="1" applyAlignment="1">
      <alignment horizontal="right" vertical="center" wrapText="1"/>
    </xf>
    <xf numFmtId="1" fontId="2" fillId="2" borderId="7" xfId="0" applyNumberFormat="1" applyFont="1" applyFill="1" applyBorder="1" applyAlignment="1">
      <alignment horizontal="right" vertical="center" wrapText="1"/>
    </xf>
    <xf numFmtId="9" fontId="2" fillId="2" borderId="8" xfId="2" applyFont="1" applyFill="1" applyBorder="1" applyAlignment="1">
      <alignment horizontal="right" vertical="center" wrapText="1"/>
    </xf>
    <xf numFmtId="9" fontId="2" fillId="2" borderId="0" xfId="2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165" fontId="2" fillId="2" borderId="8" xfId="1" applyNumberFormat="1" applyFont="1" applyFill="1" applyBorder="1" applyAlignment="1">
      <alignment horizontal="right" vertical="center" wrapText="1"/>
    </xf>
    <xf numFmtId="166" fontId="2" fillId="2" borderId="8" xfId="1" applyNumberFormat="1" applyFont="1" applyFill="1" applyBorder="1" applyAlignment="1">
      <alignment horizontal="right" vertical="center" wrapText="1"/>
    </xf>
    <xf numFmtId="165" fontId="2" fillId="2" borderId="7" xfId="1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wrapText="1"/>
    </xf>
    <xf numFmtId="0" fontId="2" fillId="2" borderId="0" xfId="0" applyFont="1" applyFill="1" applyAlignment="1">
      <alignment horizontal="right" wrapText="1"/>
    </xf>
    <xf numFmtId="0" fontId="2" fillId="2" borderId="8" xfId="0" applyFont="1" applyFill="1" applyBorder="1" applyAlignment="1">
      <alignment horizontal="right" wrapText="1"/>
    </xf>
    <xf numFmtId="0" fontId="0" fillId="2" borderId="9" xfId="0" applyFill="1" applyBorder="1" applyAlignment="1">
      <alignment horizontal="centerContinuous"/>
    </xf>
    <xf numFmtId="0" fontId="2" fillId="2" borderId="10" xfId="0" applyFont="1" applyFill="1" applyBorder="1" applyAlignment="1">
      <alignment horizontal="right" wrapText="1"/>
    </xf>
    <xf numFmtId="1" fontId="2" fillId="2" borderId="9" xfId="0" applyNumberFormat="1" applyFont="1" applyFill="1" applyBorder="1" applyAlignment="1">
      <alignment horizontal="right" vertical="center" wrapText="1"/>
    </xf>
    <xf numFmtId="1" fontId="2" fillId="2" borderId="10" xfId="0" applyNumberFormat="1" applyFont="1" applyFill="1" applyBorder="1" applyAlignment="1">
      <alignment horizontal="right" vertical="center" wrapText="1"/>
    </xf>
    <xf numFmtId="9" fontId="2" fillId="2" borderId="9" xfId="2" applyFont="1" applyFill="1" applyBorder="1" applyAlignment="1">
      <alignment horizontal="right" vertical="center" wrapText="1"/>
    </xf>
    <xf numFmtId="164" fontId="2" fillId="2" borderId="10" xfId="0" applyNumberFormat="1" applyFont="1" applyFill="1" applyBorder="1" applyAlignment="1">
      <alignment horizontal="right" vertical="center" wrapText="1"/>
    </xf>
    <xf numFmtId="165" fontId="2" fillId="2" borderId="9" xfId="1" applyNumberFormat="1" applyFont="1" applyFill="1" applyBorder="1" applyAlignment="1">
      <alignment horizontal="right" vertical="center" wrapText="1"/>
    </xf>
    <xf numFmtId="166" fontId="2" fillId="2" borderId="9" xfId="1" applyNumberFormat="1" applyFont="1" applyFill="1" applyBorder="1" applyAlignment="1">
      <alignment horizontal="right" vertical="center" wrapText="1"/>
    </xf>
    <xf numFmtId="165" fontId="2" fillId="2" borderId="10" xfId="1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Continuous"/>
    </xf>
    <xf numFmtId="0" fontId="2" fillId="2" borderId="8" xfId="0" applyFont="1" applyFill="1" applyBorder="1" applyAlignment="1">
      <alignment horizontal="centerContinuous" wrapText="1"/>
    </xf>
    <xf numFmtId="9" fontId="0" fillId="2" borderId="0" xfId="0" applyNumberFormat="1" applyFill="1"/>
    <xf numFmtId="1" fontId="0" fillId="2" borderId="0" xfId="0" applyNumberFormat="1" applyFill="1"/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Border="1" applyAlignment="1">
      <alignment horizontal="right" vertical="center"/>
    </xf>
    <xf numFmtId="165" fontId="2" fillId="2" borderId="0" xfId="1" applyNumberFormat="1" applyFont="1" applyFill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Alignment="1">
      <alignment horizontal="right" vertical="center"/>
    </xf>
    <xf numFmtId="0" fontId="2" fillId="2" borderId="5" xfId="0" applyFont="1" applyFill="1" applyBorder="1" applyAlignment="1">
      <alignment wrapText="1"/>
    </xf>
    <xf numFmtId="0" fontId="2" fillId="2" borderId="0" xfId="0" applyFont="1" applyFill="1" applyAlignment="1">
      <alignment horizontal="left" vertical="center"/>
    </xf>
    <xf numFmtId="165" fontId="2" fillId="2" borderId="8" xfId="1" applyNumberFormat="1" applyFont="1" applyFill="1" applyBorder="1" applyAlignment="1">
      <alignment horizontal="right" vertical="center"/>
    </xf>
    <xf numFmtId="165" fontId="2" fillId="2" borderId="6" xfId="1" applyNumberFormat="1" applyFont="1" applyFill="1" applyBorder="1" applyAlignment="1">
      <alignment horizontal="right" vertical="center"/>
    </xf>
    <xf numFmtId="6" fontId="2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6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6" fontId="2" fillId="2" borderId="5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 readingOrder="1"/>
    </xf>
    <xf numFmtId="0" fontId="10" fillId="0" borderId="0" xfId="0" applyFont="1"/>
    <xf numFmtId="0" fontId="10" fillId="0" borderId="0" xfId="0" applyFont="1" applyAlignment="1">
      <alignment vertical="center" readingOrder="1"/>
    </xf>
    <xf numFmtId="0" fontId="11" fillId="2" borderId="0" xfId="0" applyFont="1" applyFill="1"/>
    <xf numFmtId="0" fontId="12" fillId="2" borderId="0" xfId="0" applyFont="1" applyFill="1"/>
    <xf numFmtId="0" fontId="13" fillId="2" borderId="0" xfId="3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14" fillId="2" borderId="0" xfId="0" applyFont="1" applyFill="1"/>
    <xf numFmtId="165" fontId="14" fillId="2" borderId="0" xfId="0" applyNumberFormat="1" applyFont="1" applyFill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361950</xdr:colOff>
      <xdr:row>4</xdr:row>
      <xdr:rowOff>9525</xdr:rowOff>
    </xdr:from>
    <xdr:to>
      <xdr:col>17</xdr:col>
      <xdr:colOff>323738</xdr:colOff>
      <xdr:row>5</xdr:row>
      <xdr:rowOff>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73C9C9-EF23-49C3-9A12-FBDC7F8D2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5550" y="4010025"/>
          <a:ext cx="571388" cy="2641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/4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F6057-A144-49D4-8737-EBF7B98CEF15}">
  <dimension ref="C2:C16"/>
  <sheetViews>
    <sheetView tabSelected="1" workbookViewId="0">
      <selection activeCell="X5" sqref="X5"/>
    </sheetView>
  </sheetViews>
  <sheetFormatPr defaultRowHeight="15" x14ac:dyDescent="0.25"/>
  <cols>
    <col min="1" max="16384" width="9.140625" style="1"/>
  </cols>
  <sheetData>
    <row r="2" spans="3:3" s="124" customFormat="1" ht="28.5" x14ac:dyDescent="0.45">
      <c r="C2" s="124" t="s">
        <v>131</v>
      </c>
    </row>
    <row r="5" spans="3:3" ht="21" x14ac:dyDescent="0.35">
      <c r="C5" s="121" t="s">
        <v>130</v>
      </c>
    </row>
    <row r="6" spans="3:3" ht="21" x14ac:dyDescent="0.25">
      <c r="C6" s="122" t="s">
        <v>128</v>
      </c>
    </row>
    <row r="8" spans="3:3" ht="21" x14ac:dyDescent="0.25">
      <c r="C8" s="120" t="s">
        <v>126</v>
      </c>
    </row>
    <row r="9" spans="3:3" ht="21" x14ac:dyDescent="0.25">
      <c r="C9" s="122" t="s">
        <v>132</v>
      </c>
    </row>
    <row r="11" spans="3:3" ht="21" x14ac:dyDescent="0.25">
      <c r="C11" s="120" t="s">
        <v>127</v>
      </c>
    </row>
    <row r="12" spans="3:3" ht="21" x14ac:dyDescent="0.25">
      <c r="C12" s="122" t="s">
        <v>133</v>
      </c>
    </row>
    <row r="14" spans="3:3" ht="21" x14ac:dyDescent="0.25">
      <c r="C14" s="122" t="s">
        <v>129</v>
      </c>
    </row>
    <row r="16" spans="3:3" s="123" customFormat="1" ht="18.75" x14ac:dyDescent="0.3">
      <c r="C16" s="125" t="s">
        <v>134</v>
      </c>
    </row>
  </sheetData>
  <hyperlinks>
    <hyperlink ref="C16" r:id="rId1" xr:uid="{6DEEB678-825A-46E7-BC7B-58A6169633DF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4ABDF-04B7-40E7-BAF3-2D25A0451580}">
  <dimension ref="C3:G31"/>
  <sheetViews>
    <sheetView workbookViewId="0">
      <selection activeCell="M27" sqref="M27"/>
    </sheetView>
  </sheetViews>
  <sheetFormatPr defaultRowHeight="15" customHeight="1" x14ac:dyDescent="0.25"/>
  <cols>
    <col min="1" max="2" width="9.140625" style="1"/>
    <col min="3" max="3" width="33.140625" style="1" customWidth="1"/>
    <col min="4" max="5" width="9.5703125" style="1" customWidth="1"/>
    <col min="6" max="16384" width="9.140625" style="1"/>
  </cols>
  <sheetData>
    <row r="3" spans="3:7" ht="15" customHeight="1" x14ac:dyDescent="0.25">
      <c r="C3" s="117"/>
      <c r="D3" s="6" t="s">
        <v>110</v>
      </c>
      <c r="E3" s="6" t="s">
        <v>111</v>
      </c>
      <c r="G3" s="128" t="s">
        <v>147</v>
      </c>
    </row>
    <row r="4" spans="3:7" ht="15" customHeight="1" x14ac:dyDescent="0.25">
      <c r="C4" s="20" t="s">
        <v>112</v>
      </c>
      <c r="D4" s="2">
        <v>10</v>
      </c>
      <c r="E4" s="2">
        <v>10</v>
      </c>
    </row>
    <row r="5" spans="3:7" ht="15" customHeight="1" x14ac:dyDescent="0.25">
      <c r="C5" s="118" t="s">
        <v>113</v>
      </c>
      <c r="D5" s="119">
        <v>25</v>
      </c>
      <c r="E5" s="119">
        <v>100</v>
      </c>
    </row>
    <row r="6" spans="3:7" ht="15" customHeight="1" x14ac:dyDescent="0.25">
      <c r="C6" s="20" t="s">
        <v>114</v>
      </c>
      <c r="D6" s="114">
        <f>D4*D5</f>
        <v>250</v>
      </c>
      <c r="E6" s="114">
        <f>E4*E5</f>
        <v>1000</v>
      </c>
    </row>
    <row r="7" spans="3:7" ht="15" customHeight="1" x14ac:dyDescent="0.25">
      <c r="C7" s="20"/>
      <c r="D7" s="115"/>
      <c r="E7" s="115"/>
    </row>
    <row r="8" spans="3:7" ht="15" customHeight="1" x14ac:dyDescent="0.25">
      <c r="C8" s="20" t="s">
        <v>115</v>
      </c>
      <c r="D8" s="2">
        <v>10</v>
      </c>
      <c r="E8" s="2">
        <v>10</v>
      </c>
    </row>
    <row r="9" spans="3:7" ht="15" customHeight="1" x14ac:dyDescent="0.25">
      <c r="C9" s="20" t="s">
        <v>116</v>
      </c>
      <c r="D9" s="2">
        <v>2</v>
      </c>
      <c r="E9" s="2">
        <v>1</v>
      </c>
    </row>
    <row r="10" spans="3:7" ht="15" customHeight="1" x14ac:dyDescent="0.25">
      <c r="C10" s="118" t="s">
        <v>117</v>
      </c>
      <c r="D10" s="119">
        <v>50</v>
      </c>
      <c r="E10" s="119">
        <v>50</v>
      </c>
    </row>
    <row r="11" spans="3:7" ht="15" customHeight="1" x14ac:dyDescent="0.25">
      <c r="C11" s="20" t="s">
        <v>118</v>
      </c>
      <c r="D11" s="114">
        <f>D8*D9*D10</f>
        <v>1000</v>
      </c>
      <c r="E11" s="114">
        <f>E8*E9*E10</f>
        <v>500</v>
      </c>
    </row>
    <row r="12" spans="3:7" ht="15" customHeight="1" x14ac:dyDescent="0.25">
      <c r="C12" s="20"/>
      <c r="D12" s="115"/>
      <c r="E12" s="115"/>
    </row>
    <row r="13" spans="3:7" ht="15" customHeight="1" x14ac:dyDescent="0.25">
      <c r="C13" s="20" t="s">
        <v>119</v>
      </c>
      <c r="D13" s="114">
        <f>D6+D11</f>
        <v>1250</v>
      </c>
      <c r="E13" s="114">
        <f>E6+E11</f>
        <v>1500</v>
      </c>
    </row>
    <row r="14" spans="3:7" ht="15" customHeight="1" x14ac:dyDescent="0.25">
      <c r="C14" s="118" t="s">
        <v>120</v>
      </c>
      <c r="D14" s="6">
        <v>2</v>
      </c>
      <c r="E14" s="6">
        <v>1</v>
      </c>
    </row>
    <row r="15" spans="3:7" ht="15" customHeight="1" x14ac:dyDescent="0.25">
      <c r="C15" s="20" t="s">
        <v>121</v>
      </c>
      <c r="D15" s="114">
        <f>D13*D14</f>
        <v>2500</v>
      </c>
      <c r="E15" s="114">
        <f>E13*E14</f>
        <v>1500</v>
      </c>
    </row>
    <row r="16" spans="3:7" ht="15" customHeight="1" x14ac:dyDescent="0.25">
      <c r="C16" s="116"/>
      <c r="D16" s="116"/>
      <c r="E16" s="116"/>
    </row>
    <row r="20" spans="3:7" ht="15" customHeight="1" x14ac:dyDescent="0.25">
      <c r="C20" s="118" t="s">
        <v>122</v>
      </c>
      <c r="D20" s="6" t="s">
        <v>110</v>
      </c>
      <c r="E20" s="6" t="s">
        <v>111</v>
      </c>
      <c r="G20" s="127" t="s">
        <v>144</v>
      </c>
    </row>
    <row r="21" spans="3:7" ht="15" customHeight="1" x14ac:dyDescent="0.25">
      <c r="C21" s="20" t="s">
        <v>112</v>
      </c>
      <c r="D21" s="2">
        <v>10</v>
      </c>
      <c r="E21" s="2">
        <v>10</v>
      </c>
    </row>
    <row r="22" spans="3:7" ht="15" customHeight="1" x14ac:dyDescent="0.25">
      <c r="C22" s="118" t="s">
        <v>113</v>
      </c>
      <c r="D22" s="119">
        <v>25</v>
      </c>
      <c r="E22" s="119">
        <v>100</v>
      </c>
    </row>
    <row r="23" spans="3:7" ht="15" customHeight="1" x14ac:dyDescent="0.25">
      <c r="C23" s="20" t="s">
        <v>114</v>
      </c>
      <c r="D23" s="114">
        <f>D21*D22</f>
        <v>250</v>
      </c>
      <c r="E23" s="114">
        <f>E21*E22</f>
        <v>1000</v>
      </c>
    </row>
    <row r="24" spans="3:7" ht="15" customHeight="1" x14ac:dyDescent="0.25">
      <c r="C24" s="20"/>
      <c r="D24" s="2"/>
      <c r="E24" s="2"/>
    </row>
    <row r="25" spans="3:7" ht="15" customHeight="1" x14ac:dyDescent="0.25">
      <c r="C25" s="20" t="s">
        <v>115</v>
      </c>
      <c r="D25" s="2">
        <v>10</v>
      </c>
      <c r="E25" s="2">
        <v>10</v>
      </c>
    </row>
    <row r="26" spans="3:7" ht="15" customHeight="1" x14ac:dyDescent="0.25">
      <c r="C26" s="20" t="s">
        <v>116</v>
      </c>
      <c r="D26" s="2">
        <v>2</v>
      </c>
      <c r="E26" s="2">
        <v>1</v>
      </c>
    </row>
    <row r="27" spans="3:7" ht="15" customHeight="1" x14ac:dyDescent="0.25">
      <c r="C27" s="118" t="s">
        <v>117</v>
      </c>
      <c r="D27" s="119">
        <v>50</v>
      </c>
      <c r="E27" s="119">
        <v>50</v>
      </c>
    </row>
    <row r="28" spans="3:7" ht="15" customHeight="1" x14ac:dyDescent="0.25">
      <c r="C28" s="20" t="s">
        <v>118</v>
      </c>
      <c r="D28" s="114">
        <f>D25*D26*D27</f>
        <v>1000</v>
      </c>
      <c r="E28" s="114">
        <f>E25*E26*E27</f>
        <v>500</v>
      </c>
    </row>
    <row r="29" spans="3:7" ht="15" customHeight="1" x14ac:dyDescent="0.25">
      <c r="C29" s="20"/>
      <c r="D29" s="2"/>
      <c r="E29" s="2"/>
    </row>
    <row r="30" spans="3:7" ht="15" customHeight="1" x14ac:dyDescent="0.25">
      <c r="C30" s="20" t="s">
        <v>123</v>
      </c>
      <c r="D30" s="114">
        <f>D23+D28</f>
        <v>1250</v>
      </c>
      <c r="E30" s="114">
        <f>E23+E28</f>
        <v>1500</v>
      </c>
    </row>
    <row r="31" spans="3:7" ht="15" customHeight="1" x14ac:dyDescent="0.25">
      <c r="C31" s="116"/>
      <c r="D31" s="116"/>
      <c r="E31" s="11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O98"/>
  <sheetViews>
    <sheetView topLeftCell="A49" workbookViewId="0">
      <selection activeCell="H68" sqref="H68"/>
    </sheetView>
  </sheetViews>
  <sheetFormatPr defaultRowHeight="12.75" x14ac:dyDescent="0.2"/>
  <cols>
    <col min="1" max="2" width="9.140625" style="23"/>
    <col min="3" max="3" width="22.7109375" style="23" customWidth="1"/>
    <col min="4" max="4" width="5.7109375" style="23" customWidth="1"/>
    <col min="5" max="6" width="13" style="23" customWidth="1"/>
    <col min="7" max="7" width="11.28515625" style="23" customWidth="1"/>
    <col min="8" max="8" width="11.140625" style="128" bestFit="1" customWidth="1"/>
    <col min="9" max="16384" width="9.140625" style="23"/>
  </cols>
  <sheetData>
    <row r="1" spans="3:8" ht="14.1" customHeight="1" x14ac:dyDescent="0.2"/>
    <row r="2" spans="3:8" s="1" customFormat="1" ht="15" customHeight="1" x14ac:dyDescent="0.3">
      <c r="C2" s="123"/>
      <c r="H2" s="127"/>
    </row>
    <row r="3" spans="3:8" ht="25.5" customHeight="1" x14ac:dyDescent="0.2">
      <c r="C3" s="30"/>
      <c r="D3" s="70"/>
      <c r="E3" s="32" t="s">
        <v>79</v>
      </c>
      <c r="F3" s="32" t="s">
        <v>1</v>
      </c>
      <c r="H3" s="128" t="s">
        <v>145</v>
      </c>
    </row>
    <row r="4" spans="3:8" ht="14.1" customHeight="1" x14ac:dyDescent="0.2">
      <c r="C4" s="8" t="s">
        <v>2</v>
      </c>
      <c r="D4" s="5" t="s">
        <v>3</v>
      </c>
      <c r="E4" s="9">
        <v>650</v>
      </c>
      <c r="F4" s="9">
        <v>700</v>
      </c>
    </row>
    <row r="5" spans="3:8" ht="14.1" customHeight="1" x14ac:dyDescent="0.2">
      <c r="C5" s="64" t="s">
        <v>4</v>
      </c>
      <c r="D5" s="65" t="s">
        <v>5</v>
      </c>
      <c r="E5" s="68">
        <v>65</v>
      </c>
      <c r="F5" s="68">
        <v>75</v>
      </c>
    </row>
    <row r="6" spans="3:8" ht="14.1" customHeight="1" x14ac:dyDescent="0.2">
      <c r="C6" s="8" t="s">
        <v>6</v>
      </c>
      <c r="D6" s="5" t="s">
        <v>7</v>
      </c>
      <c r="E6" s="9">
        <f>E4/E5</f>
        <v>10</v>
      </c>
      <c r="F6" s="9">
        <f>F4/F5</f>
        <v>9.3333333333333339</v>
      </c>
    </row>
    <row r="7" spans="3:8" ht="14.1" customHeight="1" x14ac:dyDescent="0.2">
      <c r="C7" s="20"/>
      <c r="D7" s="20"/>
      <c r="E7" s="21"/>
      <c r="F7" s="21"/>
    </row>
    <row r="8" spans="3:8" ht="14.1" customHeight="1" x14ac:dyDescent="0.2">
      <c r="C8" s="8" t="s">
        <v>8</v>
      </c>
      <c r="D8" s="5"/>
      <c r="E8" s="10">
        <v>0.75</v>
      </c>
      <c r="F8" s="10">
        <v>0.65</v>
      </c>
    </row>
    <row r="9" spans="3:8" ht="14.1" customHeight="1" x14ac:dyDescent="0.2">
      <c r="C9" s="64" t="s">
        <v>9</v>
      </c>
      <c r="D9" s="65" t="s">
        <v>7</v>
      </c>
      <c r="E9" s="67">
        <f>E8*E6</f>
        <v>7.5</v>
      </c>
      <c r="F9" s="67">
        <f>F8*F6</f>
        <v>6.0666666666666673</v>
      </c>
    </row>
    <row r="10" spans="3:8" ht="14.1" customHeight="1" x14ac:dyDescent="0.2">
      <c r="C10" s="8" t="s">
        <v>9</v>
      </c>
      <c r="D10" s="5" t="s">
        <v>10</v>
      </c>
      <c r="E10" s="11">
        <f>E9*24*365</f>
        <v>65700</v>
      </c>
      <c r="F10" s="11">
        <f>F9*24*365</f>
        <v>53144.000000000007</v>
      </c>
    </row>
    <row r="11" spans="3:8" ht="14.1" customHeight="1" x14ac:dyDescent="0.2">
      <c r="C11" s="20"/>
      <c r="D11" s="20"/>
      <c r="E11" s="21"/>
      <c r="F11" s="21"/>
    </row>
    <row r="12" spans="3:8" ht="14.1" customHeight="1" x14ac:dyDescent="0.2">
      <c r="C12" s="8" t="s">
        <v>11</v>
      </c>
      <c r="D12" s="5" t="s">
        <v>12</v>
      </c>
      <c r="E12" s="7">
        <f>ROUNDUP(E13*5,-3)</f>
        <v>742000</v>
      </c>
      <c r="F12" s="11">
        <v>600000</v>
      </c>
    </row>
    <row r="13" spans="3:8" ht="14.1" customHeight="1" x14ac:dyDescent="0.2">
      <c r="C13" s="64" t="s">
        <v>77</v>
      </c>
      <c r="D13" s="65" t="s">
        <v>54</v>
      </c>
      <c r="E13" s="66">
        <f>E14*E10</f>
        <v>148351.64835164833</v>
      </c>
      <c r="F13" s="66">
        <f t="shared" ref="F13" si="0">F12/5</f>
        <v>120000</v>
      </c>
    </row>
    <row r="14" spans="3:8" ht="14.1" customHeight="1" x14ac:dyDescent="0.2">
      <c r="C14" s="8" t="s">
        <v>76</v>
      </c>
      <c r="D14" s="5" t="s">
        <v>12</v>
      </c>
      <c r="E14" s="14">
        <f>F14</f>
        <v>2.2580159566460933</v>
      </c>
      <c r="F14" s="14">
        <f>F13/F10</f>
        <v>2.2580159566460933</v>
      </c>
    </row>
    <row r="15" spans="3:8" ht="14.1" customHeight="1" x14ac:dyDescent="0.2">
      <c r="C15" s="8"/>
      <c r="D15" s="20"/>
      <c r="E15" s="2"/>
      <c r="F15" s="2"/>
    </row>
    <row r="16" spans="3:8" ht="14.1" customHeight="1" x14ac:dyDescent="0.2">
      <c r="C16" s="12" t="s">
        <v>18</v>
      </c>
      <c r="D16" s="22"/>
      <c r="E16" s="13">
        <f>-($F14-E14)/$F14</f>
        <v>0</v>
      </c>
      <c r="F16" s="15"/>
    </row>
    <row r="17" spans="3:15" ht="14.1" customHeight="1" x14ac:dyDescent="0.2">
      <c r="C17" s="8"/>
      <c r="D17" s="20"/>
      <c r="E17" s="25"/>
      <c r="F17" s="25"/>
      <c r="G17" s="15"/>
    </row>
    <row r="18" spans="3:15" ht="25.5" customHeight="1" x14ac:dyDescent="0.2">
      <c r="C18" s="30"/>
      <c r="D18" s="70"/>
      <c r="E18" s="32" t="s">
        <v>79</v>
      </c>
      <c r="F18" s="32" t="s">
        <v>1</v>
      </c>
      <c r="H18" s="128" t="s">
        <v>143</v>
      </c>
    </row>
    <row r="19" spans="3:15" ht="14.1" customHeight="1" x14ac:dyDescent="0.2">
      <c r="C19" s="8" t="s">
        <v>2</v>
      </c>
      <c r="D19" s="5" t="s">
        <v>3</v>
      </c>
      <c r="E19" s="9">
        <v>650</v>
      </c>
      <c r="F19" s="9">
        <v>700</v>
      </c>
    </row>
    <row r="20" spans="3:15" ht="14.1" customHeight="1" x14ac:dyDescent="0.2">
      <c r="C20" s="64" t="s">
        <v>4</v>
      </c>
      <c r="D20" s="65" t="s">
        <v>5</v>
      </c>
      <c r="E20" s="68">
        <v>65</v>
      </c>
      <c r="F20" s="68">
        <v>75</v>
      </c>
    </row>
    <row r="21" spans="3:15" ht="14.1" customHeight="1" x14ac:dyDescent="0.2">
      <c r="C21" s="8" t="s">
        <v>6</v>
      </c>
      <c r="D21" s="5" t="s">
        <v>7</v>
      </c>
      <c r="E21" s="9">
        <f>E19/E20</f>
        <v>10</v>
      </c>
      <c r="F21" s="9">
        <f>F19/F20</f>
        <v>9.3333333333333339</v>
      </c>
    </row>
    <row r="22" spans="3:15" ht="14.1" customHeight="1" x14ac:dyDescent="0.2">
      <c r="C22" s="20"/>
      <c r="D22" s="20"/>
      <c r="E22" s="21"/>
      <c r="F22" s="21"/>
    </row>
    <row r="23" spans="3:15" ht="14.1" customHeight="1" x14ac:dyDescent="0.2">
      <c r="C23" s="8" t="s">
        <v>8</v>
      </c>
      <c r="D23" s="5"/>
      <c r="E23" s="10">
        <v>0.75</v>
      </c>
      <c r="F23" s="10">
        <v>0.65</v>
      </c>
    </row>
    <row r="24" spans="3:15" ht="14.1" customHeight="1" x14ac:dyDescent="0.2">
      <c r="C24" s="64" t="s">
        <v>9</v>
      </c>
      <c r="D24" s="65" t="s">
        <v>7</v>
      </c>
      <c r="E24" s="67">
        <f>E23*E21</f>
        <v>7.5</v>
      </c>
      <c r="F24" s="67">
        <f>F23*F21</f>
        <v>6.0666666666666673</v>
      </c>
    </row>
    <row r="25" spans="3:15" ht="14.1" customHeight="1" x14ac:dyDescent="0.2">
      <c r="C25" s="8" t="s">
        <v>9</v>
      </c>
      <c r="D25" s="5" t="s">
        <v>10</v>
      </c>
      <c r="E25" s="11">
        <f>E24*24*365</f>
        <v>65700</v>
      </c>
      <c r="F25" s="11">
        <f>F24*24*365</f>
        <v>53144.000000000007</v>
      </c>
    </row>
    <row r="26" spans="3:15" ht="14.1" customHeight="1" x14ac:dyDescent="0.2">
      <c r="C26" s="20"/>
      <c r="D26" s="20"/>
      <c r="E26" s="21"/>
      <c r="F26" s="21"/>
    </row>
    <row r="27" spans="3:15" ht="14.1" customHeight="1" x14ac:dyDescent="0.2">
      <c r="C27" s="8" t="s">
        <v>11</v>
      </c>
      <c r="D27" s="5" t="s">
        <v>12</v>
      </c>
      <c r="E27" s="7">
        <v>655000</v>
      </c>
      <c r="F27" s="11">
        <v>600000</v>
      </c>
    </row>
    <row r="28" spans="3:15" ht="14.1" customHeight="1" x14ac:dyDescent="0.2">
      <c r="C28" s="64" t="s">
        <v>77</v>
      </c>
      <c r="D28" s="65" t="s">
        <v>54</v>
      </c>
      <c r="E28" s="66">
        <f t="shared" ref="E28:F28" si="1">E27/5</f>
        <v>131000</v>
      </c>
      <c r="F28" s="66">
        <f t="shared" si="1"/>
        <v>120000</v>
      </c>
    </row>
    <row r="29" spans="3:15" ht="14.1" customHeight="1" x14ac:dyDescent="0.2">
      <c r="C29" s="8" t="s">
        <v>76</v>
      </c>
      <c r="D29" s="5" t="s">
        <v>12</v>
      </c>
      <c r="E29" s="14">
        <f>E28/E25</f>
        <v>1.9939117199391172</v>
      </c>
      <c r="F29" s="14">
        <f>F28/F25</f>
        <v>2.2580159566460933</v>
      </c>
      <c r="O29" s="60"/>
    </row>
    <row r="30" spans="3:15" ht="14.1" customHeight="1" x14ac:dyDescent="0.2">
      <c r="C30" s="8"/>
      <c r="D30" s="20"/>
      <c r="E30" s="2"/>
      <c r="F30" s="2"/>
    </row>
    <row r="31" spans="3:15" ht="14.1" customHeight="1" x14ac:dyDescent="0.2">
      <c r="C31" s="12" t="s">
        <v>18</v>
      </c>
      <c r="D31" s="22"/>
      <c r="E31" s="13">
        <f>-($F29-E29)/$F29</f>
        <v>-0.11696296296296285</v>
      </c>
      <c r="F31" s="15"/>
    </row>
    <row r="32" spans="3:15" ht="39.75" customHeight="1" x14ac:dyDescent="0.2">
      <c r="C32" s="8"/>
      <c r="D32" s="20"/>
      <c r="F32" s="15"/>
    </row>
    <row r="33" spans="3:8" ht="14.1" customHeight="1" x14ac:dyDescent="0.2">
      <c r="C33" s="64"/>
      <c r="D33" s="69"/>
      <c r="E33" s="6" t="s">
        <v>0</v>
      </c>
      <c r="F33" s="6" t="s">
        <v>1</v>
      </c>
      <c r="H33" s="128" t="s">
        <v>142</v>
      </c>
    </row>
    <row r="34" spans="3:8" ht="14.1" customHeight="1" x14ac:dyDescent="0.2">
      <c r="C34" s="8" t="s">
        <v>2</v>
      </c>
      <c r="D34" s="5" t="s">
        <v>3</v>
      </c>
      <c r="E34" s="9">
        <v>650</v>
      </c>
      <c r="F34" s="9">
        <v>700</v>
      </c>
    </row>
    <row r="35" spans="3:8" ht="14.1" customHeight="1" x14ac:dyDescent="0.2">
      <c r="C35" s="64" t="s">
        <v>4</v>
      </c>
      <c r="D35" s="65" t="s">
        <v>5</v>
      </c>
      <c r="E35" s="68">
        <v>65</v>
      </c>
      <c r="F35" s="68">
        <v>75</v>
      </c>
    </row>
    <row r="36" spans="3:8" ht="14.1" customHeight="1" x14ac:dyDescent="0.2">
      <c r="C36" s="8" t="s">
        <v>6</v>
      </c>
      <c r="D36" s="5" t="s">
        <v>7</v>
      </c>
      <c r="E36" s="9">
        <f>E34/E35</f>
        <v>10</v>
      </c>
      <c r="F36" s="9">
        <f>F34/F35</f>
        <v>9.3333333333333339</v>
      </c>
    </row>
    <row r="37" spans="3:8" ht="14.1" customHeight="1" x14ac:dyDescent="0.2">
      <c r="C37" s="20"/>
      <c r="D37" s="20"/>
      <c r="E37" s="21"/>
      <c r="F37" s="21"/>
    </row>
    <row r="38" spans="3:8" ht="14.1" customHeight="1" x14ac:dyDescent="0.2">
      <c r="C38" s="8" t="s">
        <v>8</v>
      </c>
      <c r="D38" s="5"/>
      <c r="E38" s="10">
        <v>0.75</v>
      </c>
      <c r="F38" s="10">
        <v>0.65</v>
      </c>
    </row>
    <row r="39" spans="3:8" ht="14.1" customHeight="1" x14ac:dyDescent="0.2">
      <c r="C39" s="64" t="s">
        <v>9</v>
      </c>
      <c r="D39" s="65" t="s">
        <v>7</v>
      </c>
      <c r="E39" s="67">
        <f>E38*E36</f>
        <v>7.5</v>
      </c>
      <c r="F39" s="67">
        <f>F38*F36</f>
        <v>6.0666666666666673</v>
      </c>
    </row>
    <row r="40" spans="3:8" ht="14.1" customHeight="1" x14ac:dyDescent="0.2">
      <c r="C40" s="8" t="s">
        <v>9</v>
      </c>
      <c r="D40" s="5" t="s">
        <v>10</v>
      </c>
      <c r="E40" s="11">
        <f>E39*24*365</f>
        <v>65700</v>
      </c>
      <c r="F40" s="11">
        <f>F39*24*365</f>
        <v>53144.000000000007</v>
      </c>
    </row>
    <row r="41" spans="3:8" ht="14.1" customHeight="1" x14ac:dyDescent="0.2">
      <c r="C41" s="20"/>
      <c r="D41" s="20"/>
      <c r="E41" s="21"/>
      <c r="F41" s="21"/>
    </row>
    <row r="42" spans="3:8" ht="14.1" customHeight="1" x14ac:dyDescent="0.2">
      <c r="C42" s="8" t="s">
        <v>13</v>
      </c>
      <c r="D42" s="5" t="s">
        <v>10</v>
      </c>
      <c r="E42" s="11">
        <v>1500000</v>
      </c>
      <c r="F42" s="11">
        <f>E42</f>
        <v>1500000</v>
      </c>
    </row>
    <row r="43" spans="3:8" ht="14.1" customHeight="1" x14ac:dyDescent="0.2">
      <c r="C43" s="8" t="s">
        <v>14</v>
      </c>
      <c r="D43" s="5"/>
      <c r="E43" s="9">
        <f>IF(INT(E42/E40)&lt;&gt;E42/E40,INT(E42/E40+1),E42/E40)</f>
        <v>23</v>
      </c>
      <c r="F43" s="9">
        <f>IF(INT(F42/F40)&lt;&gt;F42/F40,INT(F42/F40+1),F42/F40)</f>
        <v>29</v>
      </c>
    </row>
    <row r="44" spans="3:8" ht="14.1" customHeight="1" x14ac:dyDescent="0.2">
      <c r="C44" s="64" t="s">
        <v>11</v>
      </c>
      <c r="D44" s="65" t="s">
        <v>12</v>
      </c>
      <c r="E44" s="66">
        <v>765000</v>
      </c>
      <c r="F44" s="66">
        <v>700000</v>
      </c>
    </row>
    <row r="45" spans="3:8" ht="14.1" customHeight="1" x14ac:dyDescent="0.2">
      <c r="C45" s="8" t="s">
        <v>17</v>
      </c>
      <c r="D45" s="5" t="s">
        <v>12</v>
      </c>
      <c r="E45" s="7">
        <f>E43*E44</f>
        <v>17595000</v>
      </c>
      <c r="F45" s="7">
        <f>F43*F44</f>
        <v>20300000</v>
      </c>
    </row>
    <row r="46" spans="3:8" ht="14.1" customHeight="1" x14ac:dyDescent="0.2">
      <c r="C46" s="8"/>
      <c r="D46" s="20"/>
      <c r="E46" s="2"/>
      <c r="F46" s="2"/>
    </row>
    <row r="47" spans="3:8" ht="14.1" customHeight="1" x14ac:dyDescent="0.2">
      <c r="C47" s="12" t="s">
        <v>18</v>
      </c>
      <c r="D47" s="22"/>
      <c r="E47" s="26">
        <f>(E45-F45)/E45</f>
        <v>-0.15373685706166523</v>
      </c>
      <c r="F47" s="25"/>
      <c r="H47" s="129"/>
    </row>
    <row r="48" spans="3:8" ht="14.1" customHeight="1" x14ac:dyDescent="0.2">
      <c r="C48" s="8"/>
      <c r="D48" s="5"/>
      <c r="E48" s="2"/>
      <c r="F48" s="2"/>
    </row>
    <row r="49" spans="3:8" ht="14.1" customHeight="1" x14ac:dyDescent="0.2"/>
    <row r="50" spans="3:8" ht="14.1" customHeight="1" x14ac:dyDescent="0.2">
      <c r="C50" s="64"/>
      <c r="D50" s="69"/>
      <c r="E50" s="6" t="s">
        <v>0</v>
      </c>
      <c r="F50" s="6" t="s">
        <v>1</v>
      </c>
      <c r="H50" s="128" t="s">
        <v>141</v>
      </c>
    </row>
    <row r="51" spans="3:8" ht="14.1" customHeight="1" x14ac:dyDescent="0.2">
      <c r="C51" s="8" t="s">
        <v>2</v>
      </c>
      <c r="D51" s="5" t="s">
        <v>3</v>
      </c>
      <c r="E51" s="9">
        <v>650</v>
      </c>
      <c r="F51" s="9">
        <v>700</v>
      </c>
    </row>
    <row r="52" spans="3:8" ht="14.1" customHeight="1" x14ac:dyDescent="0.2">
      <c r="C52" s="64" t="s">
        <v>4</v>
      </c>
      <c r="D52" s="65" t="s">
        <v>5</v>
      </c>
      <c r="E52" s="68">
        <v>65</v>
      </c>
      <c r="F52" s="68">
        <v>75</v>
      </c>
    </row>
    <row r="53" spans="3:8" ht="14.1" customHeight="1" x14ac:dyDescent="0.2">
      <c r="C53" s="8" t="s">
        <v>6</v>
      </c>
      <c r="D53" s="5" t="s">
        <v>7</v>
      </c>
      <c r="E53" s="9">
        <f>E51/E52</f>
        <v>10</v>
      </c>
      <c r="F53" s="9">
        <f>F51/F52</f>
        <v>9.3333333333333339</v>
      </c>
    </row>
    <row r="54" spans="3:8" ht="14.1" customHeight="1" x14ac:dyDescent="0.2">
      <c r="C54" s="20"/>
      <c r="D54" s="20"/>
      <c r="E54" s="21"/>
      <c r="F54" s="21"/>
    </row>
    <row r="55" spans="3:8" ht="14.1" customHeight="1" x14ac:dyDescent="0.2">
      <c r="C55" s="8" t="s">
        <v>8</v>
      </c>
      <c r="D55" s="5"/>
      <c r="E55" s="10">
        <v>0.75</v>
      </c>
      <c r="F55" s="10">
        <v>0.65</v>
      </c>
    </row>
    <row r="56" spans="3:8" ht="14.1" customHeight="1" x14ac:dyDescent="0.2">
      <c r="C56" s="64" t="s">
        <v>9</v>
      </c>
      <c r="D56" s="65" t="s">
        <v>7</v>
      </c>
      <c r="E56" s="67">
        <f>E55*E53</f>
        <v>7.5</v>
      </c>
      <c r="F56" s="67">
        <f>F55*F53</f>
        <v>6.0666666666666673</v>
      </c>
    </row>
    <row r="57" spans="3:8" ht="14.1" customHeight="1" x14ac:dyDescent="0.2">
      <c r="C57" s="8" t="s">
        <v>9</v>
      </c>
      <c r="D57" s="5" t="s">
        <v>10</v>
      </c>
      <c r="E57" s="11">
        <f>E56*24*365</f>
        <v>65700</v>
      </c>
      <c r="F57" s="11">
        <f>F56*24*365</f>
        <v>53144.000000000007</v>
      </c>
    </row>
    <row r="58" spans="3:8" ht="14.1" customHeight="1" x14ac:dyDescent="0.2">
      <c r="C58" s="20"/>
      <c r="D58" s="20"/>
      <c r="E58" s="21"/>
      <c r="F58" s="21"/>
    </row>
    <row r="59" spans="3:8" ht="14.1" customHeight="1" x14ac:dyDescent="0.2">
      <c r="C59" s="8" t="s">
        <v>13</v>
      </c>
      <c r="D59" s="5" t="s">
        <v>10</v>
      </c>
      <c r="E59" s="11">
        <v>1500000</v>
      </c>
      <c r="F59" s="11">
        <f>E59</f>
        <v>1500000</v>
      </c>
    </row>
    <row r="60" spans="3:8" ht="14.1" customHeight="1" x14ac:dyDescent="0.2">
      <c r="C60" s="8" t="s">
        <v>14</v>
      </c>
      <c r="D60" s="5"/>
      <c r="E60" s="9">
        <f>IF(INT(E59/E57)&lt;&gt;E59/E57,INT(E59/E57+1),E59/E57)</f>
        <v>23</v>
      </c>
      <c r="F60" s="9">
        <f>IF(INT(F59/F57)&lt;&gt;F59/F57,INT(F59/F57+1),F59/F57)</f>
        <v>29</v>
      </c>
    </row>
    <row r="61" spans="3:8" ht="14.1" customHeight="1" x14ac:dyDescent="0.2">
      <c r="C61" s="64" t="s">
        <v>11</v>
      </c>
      <c r="D61" s="65" t="s">
        <v>12</v>
      </c>
      <c r="E61" s="66">
        <v>655000</v>
      </c>
      <c r="F61" s="66">
        <v>600000</v>
      </c>
    </row>
    <row r="62" spans="3:8" ht="14.1" customHeight="1" x14ac:dyDescent="0.2">
      <c r="C62" s="8" t="s">
        <v>17</v>
      </c>
      <c r="D62" s="5" t="s">
        <v>12</v>
      </c>
      <c r="E62" s="7">
        <f>E60*E61</f>
        <v>15065000</v>
      </c>
      <c r="F62" s="7">
        <f>F60*F61</f>
        <v>17400000</v>
      </c>
    </row>
    <row r="63" spans="3:8" ht="14.1" customHeight="1" x14ac:dyDescent="0.2">
      <c r="C63" s="8"/>
      <c r="D63" s="20"/>
      <c r="E63" s="2"/>
      <c r="F63" s="2"/>
    </row>
    <row r="64" spans="3:8" ht="14.1" customHeight="1" x14ac:dyDescent="0.2">
      <c r="C64" s="12" t="s">
        <v>18</v>
      </c>
      <c r="D64" s="22"/>
      <c r="E64" s="26">
        <f>(E62-F62)/E62</f>
        <v>-0.15499502157318287</v>
      </c>
      <c r="F64" s="25"/>
    </row>
    <row r="65" spans="3:8" ht="14.1" customHeight="1" x14ac:dyDescent="0.2"/>
    <row r="66" spans="3:8" ht="14.1" customHeight="1" x14ac:dyDescent="0.2"/>
    <row r="67" spans="3:8" ht="14.1" customHeight="1" x14ac:dyDescent="0.2">
      <c r="C67" s="64"/>
      <c r="D67" s="69"/>
      <c r="E67" s="6" t="s">
        <v>0</v>
      </c>
      <c r="F67" s="6" t="s">
        <v>1</v>
      </c>
      <c r="H67" s="128" t="s">
        <v>146</v>
      </c>
    </row>
    <row r="68" spans="3:8" ht="14.1" customHeight="1" x14ac:dyDescent="0.2">
      <c r="C68" s="8" t="s">
        <v>2</v>
      </c>
      <c r="D68" s="5" t="s">
        <v>3</v>
      </c>
      <c r="E68" s="9">
        <v>650</v>
      </c>
      <c r="F68" s="9">
        <v>700</v>
      </c>
    </row>
    <row r="69" spans="3:8" ht="14.1" customHeight="1" x14ac:dyDescent="0.2">
      <c r="C69" s="64" t="s">
        <v>4</v>
      </c>
      <c r="D69" s="65" t="s">
        <v>5</v>
      </c>
      <c r="E69" s="68">
        <v>65</v>
      </c>
      <c r="F69" s="68">
        <v>75</v>
      </c>
    </row>
    <row r="70" spans="3:8" ht="14.1" customHeight="1" x14ac:dyDescent="0.2">
      <c r="C70" s="8" t="s">
        <v>6</v>
      </c>
      <c r="D70" s="5" t="s">
        <v>7</v>
      </c>
      <c r="E70" s="9">
        <f>E68/E69</f>
        <v>10</v>
      </c>
      <c r="F70" s="9">
        <f>F68/F69</f>
        <v>9.3333333333333339</v>
      </c>
    </row>
    <row r="71" spans="3:8" ht="14.1" customHeight="1" x14ac:dyDescent="0.2">
      <c r="C71" s="20"/>
      <c r="D71" s="20"/>
      <c r="E71" s="21"/>
      <c r="F71" s="21"/>
    </row>
    <row r="72" spans="3:8" ht="14.1" customHeight="1" x14ac:dyDescent="0.2">
      <c r="C72" s="8" t="s">
        <v>8</v>
      </c>
      <c r="D72" s="5"/>
      <c r="E72" s="10">
        <v>0.75</v>
      </c>
      <c r="F72" s="10">
        <v>0.65</v>
      </c>
    </row>
    <row r="73" spans="3:8" ht="14.1" customHeight="1" x14ac:dyDescent="0.2">
      <c r="C73" s="64" t="s">
        <v>9</v>
      </c>
      <c r="D73" s="65" t="s">
        <v>7</v>
      </c>
      <c r="E73" s="67">
        <f>E72*E70</f>
        <v>7.5</v>
      </c>
      <c r="F73" s="67">
        <f>F72*F70</f>
        <v>6.0666666666666673</v>
      </c>
    </row>
    <row r="74" spans="3:8" ht="14.1" customHeight="1" x14ac:dyDescent="0.2">
      <c r="C74" s="8" t="s">
        <v>9</v>
      </c>
      <c r="D74" s="5" t="s">
        <v>10</v>
      </c>
      <c r="E74" s="11">
        <f>E73*24*365</f>
        <v>65700</v>
      </c>
      <c r="F74" s="11">
        <f>F73*24*365</f>
        <v>53144.000000000007</v>
      </c>
    </row>
    <row r="75" spans="3:8" ht="14.1" customHeight="1" x14ac:dyDescent="0.2">
      <c r="C75" s="20"/>
      <c r="D75" s="20"/>
      <c r="E75" s="21"/>
      <c r="F75" s="21"/>
    </row>
    <row r="76" spans="3:8" ht="14.1" customHeight="1" x14ac:dyDescent="0.2">
      <c r="C76" s="8" t="s">
        <v>13</v>
      </c>
      <c r="D76" s="5" t="s">
        <v>10</v>
      </c>
      <c r="E76" s="11">
        <v>1500000</v>
      </c>
      <c r="F76" s="11">
        <f>E76</f>
        <v>1500000</v>
      </c>
    </row>
    <row r="77" spans="3:8" ht="14.1" customHeight="1" x14ac:dyDescent="0.2">
      <c r="C77" s="8" t="s">
        <v>14</v>
      </c>
      <c r="D77" s="5"/>
      <c r="E77" s="9">
        <f>IF(INT(E76/E74)&lt;&gt;E76/E74,INT(E76/E74+1),E76/E74)</f>
        <v>23</v>
      </c>
      <c r="F77" s="9">
        <f>IF(INT(F76/F74)&lt;&gt;F76/F74,INT(F76/F74+1),F76/F74)</f>
        <v>29</v>
      </c>
    </row>
    <row r="78" spans="3:8" ht="14.1" customHeight="1" x14ac:dyDescent="0.2">
      <c r="C78" s="64" t="s">
        <v>11</v>
      </c>
      <c r="D78" s="65" t="s">
        <v>12</v>
      </c>
      <c r="E78" s="66">
        <v>655000</v>
      </c>
      <c r="F78" s="66">
        <v>600000</v>
      </c>
    </row>
    <row r="79" spans="3:8" ht="14.1" customHeight="1" x14ac:dyDescent="0.2">
      <c r="C79" s="8" t="s">
        <v>17</v>
      </c>
      <c r="D79" s="5" t="s">
        <v>12</v>
      </c>
      <c r="E79" s="7">
        <f>E77*E78</f>
        <v>15065000</v>
      </c>
      <c r="F79" s="7">
        <f>F77*F78</f>
        <v>17400000</v>
      </c>
    </row>
    <row r="80" spans="3:8" ht="14.1" customHeight="1" x14ac:dyDescent="0.2">
      <c r="C80" s="8"/>
      <c r="D80" s="5"/>
      <c r="E80" s="7"/>
      <c r="F80" s="7"/>
    </row>
    <row r="81" spans="3:6" ht="14.1" customHeight="1" x14ac:dyDescent="0.2">
      <c r="C81" s="8" t="s">
        <v>77</v>
      </c>
      <c r="D81" s="5" t="s">
        <v>54</v>
      </c>
      <c r="E81" s="7">
        <f>E79/5</f>
        <v>3013000</v>
      </c>
      <c r="F81" s="7">
        <f>F79/5</f>
        <v>3480000</v>
      </c>
    </row>
    <row r="82" spans="3:6" ht="14.1" customHeight="1" x14ac:dyDescent="0.2">
      <c r="C82" s="8" t="s">
        <v>124</v>
      </c>
      <c r="D82" s="5" t="s">
        <v>54</v>
      </c>
      <c r="E82" s="7">
        <v>800000</v>
      </c>
      <c r="F82" s="7">
        <v>1100000</v>
      </c>
    </row>
    <row r="83" spans="3:6" ht="14.1" customHeight="1" x14ac:dyDescent="0.2">
      <c r="C83" s="64" t="s">
        <v>78</v>
      </c>
      <c r="D83" s="65" t="s">
        <v>54</v>
      </c>
      <c r="E83" s="66">
        <v>500000</v>
      </c>
      <c r="F83" s="66">
        <v>500000</v>
      </c>
    </row>
    <row r="84" spans="3:6" ht="14.1" customHeight="1" x14ac:dyDescent="0.2">
      <c r="C84" s="8" t="s">
        <v>105</v>
      </c>
      <c r="D84" s="5" t="s">
        <v>54</v>
      </c>
      <c r="E84" s="27">
        <f>SUM(E81:E83)</f>
        <v>4313000</v>
      </c>
      <c r="F84" s="27">
        <f>SUM(F81:F83)</f>
        <v>5080000</v>
      </c>
    </row>
    <row r="85" spans="3:6" ht="14.1" customHeight="1" x14ac:dyDescent="0.2">
      <c r="C85" s="8"/>
      <c r="D85" s="20"/>
      <c r="E85" s="2"/>
      <c r="F85" s="2"/>
    </row>
    <row r="86" spans="3:6" ht="14.1" customHeight="1" x14ac:dyDescent="0.2">
      <c r="C86" s="12" t="s">
        <v>18</v>
      </c>
      <c r="D86" s="22"/>
      <c r="E86" s="26">
        <f>(E84-F84)/E84</f>
        <v>-0.17783445397635056</v>
      </c>
      <c r="F86" s="25"/>
    </row>
    <row r="87" spans="3:6" ht="14.1" customHeight="1" x14ac:dyDescent="0.2"/>
    <row r="88" spans="3:6" ht="14.1" customHeight="1" x14ac:dyDescent="0.2"/>
    <row r="89" spans="3:6" ht="14.1" customHeight="1" x14ac:dyDescent="0.2"/>
    <row r="90" spans="3:6" ht="14.1" customHeight="1" x14ac:dyDescent="0.2"/>
    <row r="91" spans="3:6" ht="14.1" customHeight="1" x14ac:dyDescent="0.2"/>
    <row r="92" spans="3:6" ht="14.1" customHeight="1" x14ac:dyDescent="0.2"/>
    <row r="93" spans="3:6" ht="14.1" customHeight="1" x14ac:dyDescent="0.2"/>
    <row r="94" spans="3:6" ht="14.1" customHeight="1" x14ac:dyDescent="0.2"/>
    <row r="95" spans="3:6" ht="14.1" customHeight="1" x14ac:dyDescent="0.2"/>
    <row r="96" spans="3:6" ht="14.1" customHeight="1" x14ac:dyDescent="0.2"/>
    <row r="97" ht="14.1" customHeight="1" x14ac:dyDescent="0.2"/>
    <row r="98" ht="14.1" customHeight="1" x14ac:dyDescent="0.2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N90"/>
  <sheetViews>
    <sheetView topLeftCell="A15" workbookViewId="0">
      <selection activeCell="L37" sqref="L37"/>
    </sheetView>
  </sheetViews>
  <sheetFormatPr defaultRowHeight="15" x14ac:dyDescent="0.25"/>
  <cols>
    <col min="1" max="2" width="9.140625" style="1"/>
    <col min="3" max="3" width="28.5703125" style="28" customWidth="1"/>
    <col min="4" max="4" width="8.140625" style="29" customWidth="1"/>
    <col min="5" max="6" width="12.7109375" style="1" customWidth="1"/>
    <col min="7" max="8" width="9.140625" style="1"/>
    <col min="9" max="9" width="22.7109375" style="1" customWidth="1"/>
    <col min="10" max="10" width="7.28515625" style="1" customWidth="1"/>
    <col min="11" max="12" width="11.85546875" style="1" customWidth="1"/>
    <col min="13" max="16384" width="9.140625" style="1"/>
  </cols>
  <sheetData>
    <row r="4" spans="3:8" ht="26.25" x14ac:dyDescent="0.25">
      <c r="C4" s="30"/>
      <c r="D4" s="31" t="s">
        <v>21</v>
      </c>
      <c r="E4" s="32" t="s">
        <v>19</v>
      </c>
      <c r="F4" s="32" t="s">
        <v>20</v>
      </c>
      <c r="H4" s="126" t="s">
        <v>137</v>
      </c>
    </row>
    <row r="5" spans="3:8" x14ac:dyDescent="0.25">
      <c r="C5" s="8" t="s">
        <v>87</v>
      </c>
      <c r="D5" s="5" t="s">
        <v>22</v>
      </c>
      <c r="E5" s="33">
        <v>12</v>
      </c>
      <c r="F5" s="33">
        <v>10</v>
      </c>
    </row>
    <row r="6" spans="3:8" x14ac:dyDescent="0.25">
      <c r="C6" s="8" t="s">
        <v>81</v>
      </c>
      <c r="D6" s="5" t="s">
        <v>82</v>
      </c>
      <c r="E6" s="33">
        <v>1</v>
      </c>
      <c r="F6" s="33">
        <v>1</v>
      </c>
    </row>
    <row r="7" spans="3:8" ht="15" customHeight="1" x14ac:dyDescent="0.25">
      <c r="C7" s="34" t="s">
        <v>83</v>
      </c>
      <c r="D7" s="35" t="s">
        <v>84</v>
      </c>
      <c r="E7" s="36">
        <v>12</v>
      </c>
      <c r="F7" s="36">
        <v>10</v>
      </c>
    </row>
    <row r="8" spans="3:8" ht="15" customHeight="1" x14ac:dyDescent="0.25">
      <c r="C8" s="8" t="s">
        <v>85</v>
      </c>
      <c r="D8" s="5" t="s">
        <v>86</v>
      </c>
      <c r="E8" s="33">
        <v>10</v>
      </c>
      <c r="F8" s="33">
        <v>10</v>
      </c>
    </row>
    <row r="9" spans="3:8" x14ac:dyDescent="0.25">
      <c r="C9" s="34" t="s">
        <v>83</v>
      </c>
      <c r="D9" s="35" t="s">
        <v>80</v>
      </c>
      <c r="E9" s="36">
        <f>E8*E7</f>
        <v>120</v>
      </c>
      <c r="F9" s="36">
        <f>F8*F7</f>
        <v>100</v>
      </c>
    </row>
    <row r="10" spans="3:8" x14ac:dyDescent="0.25">
      <c r="C10" s="8"/>
      <c r="D10" s="5"/>
      <c r="E10" s="4"/>
      <c r="F10" s="4"/>
    </row>
    <row r="11" spans="3:8" x14ac:dyDescent="0.25">
      <c r="C11" s="8" t="s">
        <v>103</v>
      </c>
      <c r="D11" s="5" t="s">
        <v>24</v>
      </c>
      <c r="E11" s="4">
        <v>30</v>
      </c>
      <c r="F11" s="4">
        <v>15</v>
      </c>
    </row>
    <row r="12" spans="3:8" x14ac:dyDescent="0.25">
      <c r="C12" s="8" t="s">
        <v>26</v>
      </c>
      <c r="D12" s="5" t="s">
        <v>24</v>
      </c>
      <c r="E12" s="4">
        <v>200</v>
      </c>
      <c r="F12" s="4">
        <v>200</v>
      </c>
    </row>
    <row r="13" spans="3:8" x14ac:dyDescent="0.25">
      <c r="C13" s="34" t="s">
        <v>104</v>
      </c>
      <c r="D13" s="35" t="s">
        <v>24</v>
      </c>
      <c r="E13" s="3">
        <f>E12+E11</f>
        <v>230</v>
      </c>
      <c r="F13" s="3">
        <f>F12+F11</f>
        <v>215</v>
      </c>
    </row>
    <row r="14" spans="3:8" x14ac:dyDescent="0.25">
      <c r="C14" s="8"/>
      <c r="D14" s="5"/>
      <c r="E14" s="4"/>
      <c r="F14" s="4"/>
    </row>
    <row r="15" spans="3:8" x14ac:dyDescent="0.25">
      <c r="C15" s="8" t="s">
        <v>93</v>
      </c>
      <c r="D15" s="5" t="s">
        <v>80</v>
      </c>
      <c r="E15" s="4">
        <f>E13/5</f>
        <v>46</v>
      </c>
      <c r="F15" s="4">
        <f>F13/5</f>
        <v>43</v>
      </c>
    </row>
    <row r="16" spans="3:8" x14ac:dyDescent="0.25">
      <c r="C16" s="8" t="s">
        <v>125</v>
      </c>
      <c r="D16" s="5" t="s">
        <v>80</v>
      </c>
      <c r="E16" s="4">
        <v>50</v>
      </c>
      <c r="F16" s="4">
        <v>50</v>
      </c>
    </row>
    <row r="17" spans="3:13" x14ac:dyDescent="0.25">
      <c r="C17" s="34" t="s">
        <v>28</v>
      </c>
      <c r="D17" s="35" t="s">
        <v>80</v>
      </c>
      <c r="E17" s="3">
        <f>SUM(E15:E16)</f>
        <v>96</v>
      </c>
      <c r="F17" s="3">
        <f>SUM(F15:F16)</f>
        <v>93</v>
      </c>
    </row>
    <row r="18" spans="3:13" x14ac:dyDescent="0.25">
      <c r="C18" s="8"/>
      <c r="D18" s="5"/>
      <c r="E18" s="4"/>
      <c r="F18" s="4"/>
    </row>
    <row r="19" spans="3:13" x14ac:dyDescent="0.25">
      <c r="C19" s="8" t="s">
        <v>29</v>
      </c>
      <c r="D19" s="5" t="s">
        <v>80</v>
      </c>
      <c r="E19" s="37">
        <f>E9-E17</f>
        <v>24</v>
      </c>
      <c r="F19" s="37">
        <f>F9-F17</f>
        <v>7</v>
      </c>
    </row>
    <row r="20" spans="3:13" x14ac:dyDescent="0.25">
      <c r="C20" s="8"/>
      <c r="D20" s="5"/>
      <c r="E20" s="37"/>
      <c r="F20" s="37"/>
    </row>
    <row r="21" spans="3:13" x14ac:dyDescent="0.25">
      <c r="C21" s="12" t="s">
        <v>18</v>
      </c>
      <c r="D21" s="58"/>
      <c r="E21" s="59">
        <f>(E19-F19)/F19</f>
        <v>2.4285714285714284</v>
      </c>
      <c r="F21" s="37"/>
      <c r="J21" s="49"/>
    </row>
    <row r="22" spans="3:13" x14ac:dyDescent="0.25">
      <c r="C22" s="8"/>
      <c r="D22" s="5"/>
      <c r="E22" s="4"/>
      <c r="F22" s="4"/>
    </row>
    <row r="23" spans="3:13" x14ac:dyDescent="0.25">
      <c r="J23" s="49"/>
      <c r="M23" s="49"/>
    </row>
    <row r="24" spans="3:13" x14ac:dyDescent="0.25">
      <c r="H24" s="126" t="s">
        <v>138</v>
      </c>
    </row>
    <row r="25" spans="3:13" ht="26.25" x14ac:dyDescent="0.25">
      <c r="C25" s="30"/>
      <c r="D25" s="31" t="s">
        <v>21</v>
      </c>
      <c r="E25" s="32" t="s">
        <v>19</v>
      </c>
      <c r="F25" s="32" t="s">
        <v>20</v>
      </c>
    </row>
    <row r="26" spans="3:13" x14ac:dyDescent="0.25">
      <c r="C26" s="8" t="s">
        <v>30</v>
      </c>
      <c r="D26" s="5" t="s">
        <v>88</v>
      </c>
      <c r="E26" s="33">
        <v>50</v>
      </c>
      <c r="F26" s="33">
        <v>50</v>
      </c>
    </row>
    <row r="27" spans="3:13" x14ac:dyDescent="0.25">
      <c r="C27" s="8" t="s">
        <v>31</v>
      </c>
      <c r="D27" s="5" t="s">
        <v>32</v>
      </c>
      <c r="E27" s="38">
        <v>0.5</v>
      </c>
      <c r="F27" s="38">
        <v>1</v>
      </c>
    </row>
    <row r="28" spans="3:13" x14ac:dyDescent="0.25">
      <c r="C28" s="34" t="s">
        <v>40</v>
      </c>
      <c r="D28" s="35" t="s">
        <v>89</v>
      </c>
      <c r="E28" s="36">
        <f>E27*E26</f>
        <v>25</v>
      </c>
      <c r="F28" s="36">
        <f>F27*F26</f>
        <v>50</v>
      </c>
    </row>
    <row r="29" spans="3:13" x14ac:dyDescent="0.25">
      <c r="C29" s="8"/>
      <c r="D29" s="5"/>
      <c r="E29" s="33"/>
      <c r="F29" s="33"/>
    </row>
    <row r="30" spans="3:13" ht="15" customHeight="1" x14ac:dyDescent="0.25">
      <c r="C30" s="8" t="s">
        <v>90</v>
      </c>
      <c r="D30" s="5" t="s">
        <v>86</v>
      </c>
      <c r="E30" s="38">
        <v>10</v>
      </c>
      <c r="F30" s="38">
        <v>10</v>
      </c>
    </row>
    <row r="31" spans="3:13" x14ac:dyDescent="0.25">
      <c r="C31" s="8" t="s">
        <v>53</v>
      </c>
      <c r="D31" s="5" t="s">
        <v>33</v>
      </c>
      <c r="E31" s="39">
        <f>E28/365</f>
        <v>6.8493150684931503E-2</v>
      </c>
      <c r="F31" s="39">
        <f>F28/365</f>
        <v>0.13698630136986301</v>
      </c>
    </row>
    <row r="32" spans="3:13" x14ac:dyDescent="0.25">
      <c r="C32" s="34" t="s">
        <v>34</v>
      </c>
      <c r="D32" s="35" t="s">
        <v>25</v>
      </c>
      <c r="E32" s="40">
        <f>(1-E31)*E30</f>
        <v>9.3150684931506849</v>
      </c>
      <c r="F32" s="40">
        <f>(1-F31)*F30</f>
        <v>8.6301369863013697</v>
      </c>
    </row>
    <row r="33" spans="3:8" x14ac:dyDescent="0.25">
      <c r="C33" s="8" t="s">
        <v>39</v>
      </c>
      <c r="D33" s="5" t="s">
        <v>23</v>
      </c>
      <c r="E33" s="41">
        <v>12</v>
      </c>
      <c r="F33" s="41">
        <v>12</v>
      </c>
    </row>
    <row r="34" spans="3:8" x14ac:dyDescent="0.25">
      <c r="C34" s="34" t="s">
        <v>38</v>
      </c>
      <c r="D34" s="35" t="s">
        <v>80</v>
      </c>
      <c r="E34" s="42">
        <f>E33*E32</f>
        <v>111.78082191780823</v>
      </c>
      <c r="F34" s="42">
        <f>F33*F32</f>
        <v>103.56164383561644</v>
      </c>
    </row>
    <row r="35" spans="3:8" x14ac:dyDescent="0.25">
      <c r="C35" s="8"/>
      <c r="D35" s="5"/>
      <c r="E35" s="4"/>
      <c r="F35" s="4"/>
    </row>
    <row r="36" spans="3:8" x14ac:dyDescent="0.25">
      <c r="C36" s="8" t="s">
        <v>91</v>
      </c>
      <c r="D36" s="5" t="s">
        <v>24</v>
      </c>
      <c r="E36" s="41">
        <v>10</v>
      </c>
      <c r="F36" s="41">
        <v>5</v>
      </c>
    </row>
    <row r="37" spans="3:8" x14ac:dyDescent="0.25">
      <c r="C37" s="8" t="s">
        <v>26</v>
      </c>
      <c r="D37" s="5" t="s">
        <v>24</v>
      </c>
      <c r="E37" s="41">
        <v>100</v>
      </c>
      <c r="F37" s="41">
        <v>100</v>
      </c>
    </row>
    <row r="38" spans="3:8" x14ac:dyDescent="0.25">
      <c r="C38" s="34" t="s">
        <v>27</v>
      </c>
      <c r="D38" s="35" t="s">
        <v>24</v>
      </c>
      <c r="E38" s="43">
        <f>E37+E36</f>
        <v>110</v>
      </c>
      <c r="F38" s="43">
        <f>F37+F36</f>
        <v>105</v>
      </c>
    </row>
    <row r="39" spans="3:8" x14ac:dyDescent="0.25">
      <c r="C39" s="8"/>
      <c r="D39" s="5"/>
      <c r="E39" s="4"/>
      <c r="F39" s="4"/>
    </row>
    <row r="40" spans="3:8" x14ac:dyDescent="0.25">
      <c r="C40" s="8" t="s">
        <v>93</v>
      </c>
      <c r="D40" s="5" t="s">
        <v>80</v>
      </c>
      <c r="E40" s="41">
        <f>E38/5</f>
        <v>22</v>
      </c>
      <c r="F40" s="41">
        <f>F38/5</f>
        <v>21</v>
      </c>
    </row>
    <row r="41" spans="3:8" x14ac:dyDescent="0.25">
      <c r="C41" s="8" t="s">
        <v>125</v>
      </c>
      <c r="D41" s="5" t="s">
        <v>80</v>
      </c>
      <c r="E41" s="41">
        <v>50</v>
      </c>
      <c r="F41" s="41">
        <v>50</v>
      </c>
    </row>
    <row r="42" spans="3:8" x14ac:dyDescent="0.25">
      <c r="C42" s="34" t="s">
        <v>28</v>
      </c>
      <c r="D42" s="35" t="s">
        <v>80</v>
      </c>
      <c r="E42" s="43">
        <f>SUM(E40:E41)</f>
        <v>72</v>
      </c>
      <c r="F42" s="43">
        <f>SUM(F40:F41)</f>
        <v>71</v>
      </c>
    </row>
    <row r="43" spans="3:8" x14ac:dyDescent="0.25">
      <c r="C43" s="8"/>
      <c r="D43" s="5"/>
      <c r="E43" s="4"/>
      <c r="F43" s="4"/>
    </row>
    <row r="44" spans="3:8" x14ac:dyDescent="0.25">
      <c r="C44" s="8" t="s">
        <v>29</v>
      </c>
      <c r="D44" s="5" t="s">
        <v>80</v>
      </c>
      <c r="E44" s="44">
        <f>E34-E42</f>
        <v>39.780821917808225</v>
      </c>
      <c r="F44" s="44">
        <f>F34-F42</f>
        <v>32.561643835616437</v>
      </c>
    </row>
    <row r="45" spans="3:8" x14ac:dyDescent="0.25">
      <c r="C45" s="8"/>
      <c r="D45" s="5"/>
      <c r="E45" s="44"/>
      <c r="F45" s="44"/>
    </row>
    <row r="46" spans="3:8" x14ac:dyDescent="0.25">
      <c r="C46" s="12" t="s">
        <v>18</v>
      </c>
      <c r="D46" s="58"/>
      <c r="E46" s="59">
        <f>(E44-F44)/F44</f>
        <v>0.22170803533866243</v>
      </c>
      <c r="F46" s="44"/>
    </row>
    <row r="48" spans="3:8" x14ac:dyDescent="0.25">
      <c r="H48" s="126" t="s">
        <v>139</v>
      </c>
    </row>
    <row r="49" spans="3:6" ht="26.25" x14ac:dyDescent="0.25">
      <c r="C49" s="30"/>
      <c r="D49" s="31" t="s">
        <v>21</v>
      </c>
      <c r="E49" s="32" t="s">
        <v>19</v>
      </c>
      <c r="F49" s="32" t="s">
        <v>20</v>
      </c>
    </row>
    <row r="50" spans="3:6" x14ac:dyDescent="0.25">
      <c r="C50" s="8" t="s">
        <v>44</v>
      </c>
      <c r="D50" s="5" t="s">
        <v>42</v>
      </c>
      <c r="E50" s="33">
        <v>30</v>
      </c>
      <c r="F50" s="33">
        <f>E50</f>
        <v>30</v>
      </c>
    </row>
    <row r="51" spans="3:6" x14ac:dyDescent="0.25">
      <c r="C51" s="8" t="s">
        <v>45</v>
      </c>
      <c r="D51" s="5" t="s">
        <v>32</v>
      </c>
      <c r="E51" s="33">
        <v>15</v>
      </c>
      <c r="F51" s="33">
        <v>15</v>
      </c>
    </row>
    <row r="52" spans="3:6" x14ac:dyDescent="0.25">
      <c r="C52" s="8" t="s">
        <v>46</v>
      </c>
      <c r="D52" s="5" t="s">
        <v>32</v>
      </c>
      <c r="E52" s="38">
        <v>0.5</v>
      </c>
      <c r="F52" s="38">
        <v>2</v>
      </c>
    </row>
    <row r="53" spans="3:6" x14ac:dyDescent="0.25">
      <c r="C53" s="34" t="s">
        <v>41</v>
      </c>
      <c r="D53" s="35" t="s">
        <v>32</v>
      </c>
      <c r="E53" s="36">
        <f>E50*E51+E50*E52</f>
        <v>465</v>
      </c>
      <c r="F53" s="36">
        <f>F50*F51+F50*F52</f>
        <v>510</v>
      </c>
    </row>
    <row r="54" spans="3:6" x14ac:dyDescent="0.25">
      <c r="C54" s="8" t="s">
        <v>41</v>
      </c>
      <c r="D54" s="5" t="s">
        <v>43</v>
      </c>
      <c r="E54" s="33">
        <f>E53/365*12</f>
        <v>15.287671232876711</v>
      </c>
      <c r="F54" s="33">
        <f>F53/365*12</f>
        <v>16.767123287671232</v>
      </c>
    </row>
    <row r="55" spans="3:6" x14ac:dyDescent="0.25">
      <c r="C55" s="8"/>
      <c r="D55" s="5"/>
      <c r="E55" s="33"/>
      <c r="F55" s="33"/>
    </row>
    <row r="56" spans="3:6" ht="15" customHeight="1" x14ac:dyDescent="0.25">
      <c r="C56" s="8" t="s">
        <v>95</v>
      </c>
      <c r="D56" s="5" t="s">
        <v>92</v>
      </c>
      <c r="E56" s="33">
        <v>1</v>
      </c>
      <c r="F56" s="33">
        <v>1</v>
      </c>
    </row>
    <row r="57" spans="3:6" ht="27" x14ac:dyDescent="0.25">
      <c r="C57" s="8" t="s">
        <v>102</v>
      </c>
      <c r="D57" s="5" t="s">
        <v>42</v>
      </c>
      <c r="E57" s="45">
        <f>36-E54</f>
        <v>20.712328767123289</v>
      </c>
      <c r="F57" s="45">
        <f>36-F54</f>
        <v>19.232876712328768</v>
      </c>
    </row>
    <row r="58" spans="3:6" x14ac:dyDescent="0.25">
      <c r="C58" s="34" t="s">
        <v>101</v>
      </c>
      <c r="D58" s="35" t="s">
        <v>25</v>
      </c>
      <c r="E58" s="36">
        <f>E56*E57</f>
        <v>20.712328767123289</v>
      </c>
      <c r="F58" s="36">
        <f>F56*F57</f>
        <v>19.232876712328768</v>
      </c>
    </row>
    <row r="59" spans="3:6" x14ac:dyDescent="0.25">
      <c r="C59" s="8" t="s">
        <v>39</v>
      </c>
      <c r="D59" s="5" t="s">
        <v>23</v>
      </c>
      <c r="E59" s="46">
        <v>12</v>
      </c>
      <c r="F59" s="46">
        <v>12</v>
      </c>
    </row>
    <row r="60" spans="3:6" x14ac:dyDescent="0.25">
      <c r="C60" s="34" t="s">
        <v>100</v>
      </c>
      <c r="D60" s="35" t="s">
        <v>24</v>
      </c>
      <c r="E60" s="47">
        <f>E59*E58</f>
        <v>248.54794520547946</v>
      </c>
      <c r="F60" s="47">
        <f>F59*F58</f>
        <v>230.79452054794521</v>
      </c>
    </row>
    <row r="61" spans="3:6" x14ac:dyDescent="0.25">
      <c r="C61" s="8"/>
      <c r="D61" s="5"/>
      <c r="E61" s="4"/>
      <c r="F61" s="4"/>
    </row>
    <row r="62" spans="3:6" x14ac:dyDescent="0.25">
      <c r="C62" s="8" t="s">
        <v>94</v>
      </c>
      <c r="D62" s="5" t="s">
        <v>24</v>
      </c>
      <c r="E62" s="46">
        <v>10</v>
      </c>
      <c r="F62" s="46">
        <v>5</v>
      </c>
    </row>
    <row r="63" spans="3:6" x14ac:dyDescent="0.25">
      <c r="C63" s="8" t="s">
        <v>26</v>
      </c>
      <c r="D63" s="5" t="s">
        <v>24</v>
      </c>
      <c r="E63" s="46">
        <v>100</v>
      </c>
      <c r="F63" s="46">
        <v>100</v>
      </c>
    </row>
    <row r="64" spans="3:6" x14ac:dyDescent="0.25">
      <c r="C64" s="34" t="s">
        <v>27</v>
      </c>
      <c r="D64" s="35" t="s">
        <v>24</v>
      </c>
      <c r="E64" s="47">
        <f>E63+E62</f>
        <v>110</v>
      </c>
      <c r="F64" s="47">
        <f>F63+F62</f>
        <v>105</v>
      </c>
    </row>
    <row r="65" spans="3:14" x14ac:dyDescent="0.25">
      <c r="C65" s="8"/>
      <c r="D65" s="5"/>
      <c r="E65" s="4"/>
      <c r="F65" s="4"/>
    </row>
    <row r="66" spans="3:14" x14ac:dyDescent="0.25">
      <c r="C66" s="8" t="s">
        <v>96</v>
      </c>
      <c r="D66" s="5" t="s">
        <v>24</v>
      </c>
      <c r="E66" s="46">
        <f>E64/5*3</f>
        <v>66</v>
      </c>
      <c r="F66" s="46">
        <f>F64/5*3</f>
        <v>63</v>
      </c>
      <c r="N66" s="63"/>
    </row>
    <row r="67" spans="3:14" x14ac:dyDescent="0.25">
      <c r="C67" s="8" t="s">
        <v>97</v>
      </c>
      <c r="D67" s="5" t="s">
        <v>24</v>
      </c>
      <c r="E67" s="46">
        <v>75</v>
      </c>
      <c r="F67" s="46">
        <v>75</v>
      </c>
      <c r="N67" s="63"/>
    </row>
    <row r="68" spans="3:14" x14ac:dyDescent="0.25">
      <c r="C68" s="34" t="s">
        <v>98</v>
      </c>
      <c r="D68" s="35" t="s">
        <v>24</v>
      </c>
      <c r="E68" s="47">
        <f>SUM(E66:E67)</f>
        <v>141</v>
      </c>
      <c r="F68" s="47">
        <f>SUM(F66:F67)</f>
        <v>138</v>
      </c>
    </row>
    <row r="69" spans="3:14" x14ac:dyDescent="0.25">
      <c r="C69" s="8"/>
      <c r="D69" s="5"/>
      <c r="E69" s="4"/>
      <c r="F69" s="4"/>
    </row>
    <row r="70" spans="3:14" x14ac:dyDescent="0.25">
      <c r="C70" s="8" t="s">
        <v>99</v>
      </c>
      <c r="D70" s="5" t="s">
        <v>24</v>
      </c>
      <c r="E70" s="37">
        <f>E60-E68</f>
        <v>107.54794520547946</v>
      </c>
      <c r="F70" s="37">
        <f>F60-F68</f>
        <v>92.794520547945211</v>
      </c>
    </row>
    <row r="71" spans="3:14" x14ac:dyDescent="0.25">
      <c r="E71" s="49"/>
    </row>
    <row r="72" spans="3:14" x14ac:dyDescent="0.25">
      <c r="C72" s="61" t="s">
        <v>18</v>
      </c>
      <c r="D72" s="62"/>
      <c r="E72" s="59">
        <f>(E70-F70)/F70</f>
        <v>0.1589902568644819</v>
      </c>
    </row>
    <row r="74" spans="3:14" x14ac:dyDescent="0.25">
      <c r="H74" s="126" t="s">
        <v>140</v>
      </c>
    </row>
    <row r="75" spans="3:14" ht="26.25" x14ac:dyDescent="0.25">
      <c r="C75" s="51"/>
      <c r="D75" s="52"/>
      <c r="E75" s="32" t="s">
        <v>19</v>
      </c>
      <c r="F75" s="32" t="s">
        <v>20</v>
      </c>
    </row>
    <row r="76" spans="3:14" x14ac:dyDescent="0.25">
      <c r="C76" s="48" t="s">
        <v>48</v>
      </c>
      <c r="D76" s="50" t="s">
        <v>52</v>
      </c>
      <c r="E76" s="23">
        <v>285</v>
      </c>
      <c r="F76" s="23">
        <v>300</v>
      </c>
    </row>
    <row r="77" spans="3:14" x14ac:dyDescent="0.25">
      <c r="C77" s="48" t="s">
        <v>49</v>
      </c>
      <c r="D77" s="50" t="s">
        <v>52</v>
      </c>
      <c r="E77" s="23">
        <v>285</v>
      </c>
      <c r="F77" s="23">
        <v>300</v>
      </c>
    </row>
    <row r="78" spans="3:14" ht="10.5" customHeight="1" x14ac:dyDescent="0.25">
      <c r="C78" s="48"/>
      <c r="D78" s="50"/>
      <c r="E78" s="23"/>
      <c r="F78" s="23"/>
    </row>
    <row r="79" spans="3:14" x14ac:dyDescent="0.25">
      <c r="C79" s="51" t="s">
        <v>47</v>
      </c>
      <c r="D79" s="52" t="s">
        <v>52</v>
      </c>
      <c r="E79" s="53">
        <v>25000</v>
      </c>
      <c r="F79" s="53">
        <v>25000</v>
      </c>
    </row>
    <row r="80" spans="3:14" x14ac:dyDescent="0.25">
      <c r="C80" s="48" t="s">
        <v>50</v>
      </c>
      <c r="D80" s="50" t="s">
        <v>42</v>
      </c>
      <c r="E80" s="24">
        <f>E79/E76</f>
        <v>87.719298245614041</v>
      </c>
      <c r="F80" s="24">
        <f>F79/F76</f>
        <v>83.333333333333329</v>
      </c>
    </row>
    <row r="81" spans="3:6" x14ac:dyDescent="0.25">
      <c r="C81" s="48" t="s">
        <v>51</v>
      </c>
      <c r="D81" s="50" t="s">
        <v>42</v>
      </c>
      <c r="E81" s="73">
        <v>0</v>
      </c>
      <c r="F81" s="71">
        <f>F79/F77</f>
        <v>83.333333333333329</v>
      </c>
    </row>
    <row r="82" spans="3:6" ht="10.5" customHeight="1" x14ac:dyDescent="0.25">
      <c r="C82" s="48"/>
      <c r="D82" s="50"/>
      <c r="E82" s="23"/>
      <c r="F82" s="23"/>
    </row>
    <row r="83" spans="3:6" x14ac:dyDescent="0.25">
      <c r="C83" s="48" t="s">
        <v>11</v>
      </c>
      <c r="D83" s="50" t="s">
        <v>23</v>
      </c>
      <c r="E83" s="54">
        <v>550000</v>
      </c>
      <c r="F83" s="54">
        <v>500000</v>
      </c>
    </row>
    <row r="84" spans="3:6" x14ac:dyDescent="0.25">
      <c r="C84" s="55" t="s">
        <v>17</v>
      </c>
      <c r="D84" s="56" t="s">
        <v>23</v>
      </c>
      <c r="E84" s="57">
        <f>E80*E83+E81*E83</f>
        <v>48245614.03508772</v>
      </c>
      <c r="F84" s="57">
        <f>F80*F83+F81*F83</f>
        <v>83333333.333333328</v>
      </c>
    </row>
    <row r="85" spans="3:6" ht="10.5" customHeight="1" x14ac:dyDescent="0.25">
      <c r="C85" s="48"/>
      <c r="D85" s="50"/>
      <c r="E85" s="23"/>
      <c r="F85" s="23"/>
    </row>
    <row r="86" spans="3:6" x14ac:dyDescent="0.25">
      <c r="C86" s="61" t="s">
        <v>18</v>
      </c>
      <c r="D86" s="72"/>
      <c r="E86" s="26">
        <f>-(F84-E84)/F84</f>
        <v>-0.42105263157894735</v>
      </c>
      <c r="F86" s="24"/>
    </row>
    <row r="87" spans="3:6" x14ac:dyDescent="0.25">
      <c r="C87" s="48"/>
      <c r="D87" s="50"/>
      <c r="E87" s="23"/>
      <c r="F87" s="23"/>
    </row>
    <row r="88" spans="3:6" x14ac:dyDescent="0.25">
      <c r="C88" s="48"/>
      <c r="D88" s="50"/>
      <c r="E88" s="23"/>
      <c r="F88" s="23"/>
    </row>
    <row r="89" spans="3:6" x14ac:dyDescent="0.25">
      <c r="C89" s="48"/>
      <c r="D89" s="50"/>
      <c r="E89" s="23"/>
      <c r="F89" s="23"/>
    </row>
    <row r="90" spans="3:6" x14ac:dyDescent="0.25">
      <c r="C90" s="48"/>
      <c r="D90" s="50"/>
      <c r="E90" s="23"/>
      <c r="F90" s="23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L23"/>
  <sheetViews>
    <sheetView zoomScaleNormal="100" workbookViewId="0">
      <selection activeCell="L14" sqref="L14"/>
    </sheetView>
  </sheetViews>
  <sheetFormatPr defaultRowHeight="15" customHeight="1" x14ac:dyDescent="0.25"/>
  <cols>
    <col min="1" max="1" width="9.140625" style="1"/>
    <col min="2" max="2" width="1.140625" style="1" customWidth="1"/>
    <col min="3" max="3" width="17.5703125" style="1" customWidth="1"/>
    <col min="4" max="4" width="6.85546875" style="1" customWidth="1"/>
    <col min="5" max="5" width="9" style="1" customWidth="1"/>
    <col min="6" max="10" width="7.7109375" style="1" customWidth="1"/>
    <col min="11" max="16384" width="9.140625" style="1"/>
  </cols>
  <sheetData>
    <row r="2" spans="3:12" s="127" customFormat="1" ht="15" customHeight="1" x14ac:dyDescent="0.25"/>
    <row r="4" spans="3:12" ht="15" customHeight="1" x14ac:dyDescent="0.25">
      <c r="E4" s="86" t="s">
        <v>0</v>
      </c>
      <c r="F4" s="85" t="s">
        <v>16</v>
      </c>
      <c r="G4" s="85" t="s">
        <v>109</v>
      </c>
      <c r="H4" s="97" t="s">
        <v>1</v>
      </c>
      <c r="I4" s="96"/>
      <c r="J4" s="87"/>
      <c r="L4" s="127" t="s">
        <v>136</v>
      </c>
    </row>
    <row r="5" spans="3:12" s="18" customFormat="1" ht="15" customHeight="1" x14ac:dyDescent="0.25">
      <c r="C5" s="64"/>
      <c r="D5" s="69"/>
      <c r="E5" s="84" t="s">
        <v>15</v>
      </c>
      <c r="F5" s="32" t="s">
        <v>36</v>
      </c>
      <c r="G5" s="32" t="s">
        <v>37</v>
      </c>
      <c r="H5" s="84" t="s">
        <v>15</v>
      </c>
      <c r="I5" s="32" t="s">
        <v>36</v>
      </c>
      <c r="J5" s="88" t="s">
        <v>37</v>
      </c>
    </row>
    <row r="6" spans="3:12" ht="15" customHeight="1" x14ac:dyDescent="0.25">
      <c r="C6" s="8" t="s">
        <v>2</v>
      </c>
      <c r="D6" s="5" t="s">
        <v>3</v>
      </c>
      <c r="E6" s="76">
        <v>650</v>
      </c>
      <c r="F6" s="9">
        <v>650</v>
      </c>
      <c r="G6" s="9">
        <v>700</v>
      </c>
      <c r="H6" s="76">
        <v>700</v>
      </c>
      <c r="I6" s="9">
        <v>700</v>
      </c>
      <c r="J6" s="89">
        <v>700</v>
      </c>
    </row>
    <row r="7" spans="3:12" ht="15" customHeight="1" x14ac:dyDescent="0.25">
      <c r="C7" s="64" t="s">
        <v>4</v>
      </c>
      <c r="D7" s="65" t="s">
        <v>5</v>
      </c>
      <c r="E7" s="77">
        <v>65</v>
      </c>
      <c r="F7" s="68">
        <v>60</v>
      </c>
      <c r="G7" s="68">
        <v>55</v>
      </c>
      <c r="H7" s="77">
        <v>75</v>
      </c>
      <c r="I7" s="68">
        <v>70</v>
      </c>
      <c r="J7" s="90">
        <v>65</v>
      </c>
    </row>
    <row r="8" spans="3:12" ht="15" customHeight="1" x14ac:dyDescent="0.25">
      <c r="C8" s="8" t="s">
        <v>6</v>
      </c>
      <c r="D8" s="5" t="s">
        <v>7</v>
      </c>
      <c r="E8" s="76">
        <f>E6/E7</f>
        <v>10</v>
      </c>
      <c r="F8" s="9">
        <f t="shared" ref="F8:G8" si="0">F6/F7</f>
        <v>10.833333333333334</v>
      </c>
      <c r="G8" s="9">
        <f t="shared" si="0"/>
        <v>12.727272727272727</v>
      </c>
      <c r="H8" s="76">
        <f>H6/H7</f>
        <v>9.3333333333333339</v>
      </c>
      <c r="I8" s="9">
        <f>I6/I7</f>
        <v>10</v>
      </c>
      <c r="J8" s="89">
        <f>J6/J7</f>
        <v>10.76923076923077</v>
      </c>
    </row>
    <row r="9" spans="3:12" ht="15" customHeight="1" x14ac:dyDescent="0.25">
      <c r="C9" s="20"/>
      <c r="D9" s="20"/>
      <c r="E9" s="76"/>
      <c r="F9" s="9"/>
      <c r="G9" s="9"/>
      <c r="H9" s="76"/>
      <c r="I9" s="9"/>
      <c r="J9" s="89"/>
    </row>
    <row r="10" spans="3:12" ht="15" customHeight="1" x14ac:dyDescent="0.25">
      <c r="C10" s="8" t="s">
        <v>8</v>
      </c>
      <c r="D10" s="5"/>
      <c r="E10" s="78">
        <v>0.75</v>
      </c>
      <c r="F10" s="10">
        <v>0.8</v>
      </c>
      <c r="G10" s="10">
        <v>0.85</v>
      </c>
      <c r="H10" s="78">
        <v>0.65</v>
      </c>
      <c r="I10" s="79">
        <v>0.7</v>
      </c>
      <c r="J10" s="91">
        <v>0.75</v>
      </c>
    </row>
    <row r="11" spans="3:12" ht="15" customHeight="1" x14ac:dyDescent="0.25">
      <c r="C11" s="64" t="s">
        <v>9</v>
      </c>
      <c r="D11" s="65" t="s">
        <v>7</v>
      </c>
      <c r="E11" s="80">
        <f>E10*E8</f>
        <v>7.5</v>
      </c>
      <c r="F11" s="67">
        <f t="shared" ref="F11:G11" si="1">F10*F8</f>
        <v>8.6666666666666679</v>
      </c>
      <c r="G11" s="67">
        <f t="shared" si="1"/>
        <v>10.818181818181817</v>
      </c>
      <c r="H11" s="80">
        <f>H10*H8</f>
        <v>6.0666666666666673</v>
      </c>
      <c r="I11" s="67">
        <f>I10*I8</f>
        <v>7</v>
      </c>
      <c r="J11" s="92">
        <f>J10*J8</f>
        <v>8.0769230769230766</v>
      </c>
    </row>
    <row r="12" spans="3:12" ht="15" customHeight="1" x14ac:dyDescent="0.25">
      <c r="C12" s="8" t="s">
        <v>9</v>
      </c>
      <c r="D12" s="5" t="s">
        <v>10</v>
      </c>
      <c r="E12" s="81">
        <f>E11*24*365</f>
        <v>65700</v>
      </c>
      <c r="F12" s="11">
        <f t="shared" ref="F12:G12" si="2">F11*24*365</f>
        <v>75920.000000000015</v>
      </c>
      <c r="G12" s="11">
        <f t="shared" si="2"/>
        <v>94767.272727272721</v>
      </c>
      <c r="H12" s="81">
        <f>H11*24*365</f>
        <v>53144.000000000007</v>
      </c>
      <c r="I12" s="7">
        <f>I11*24*365</f>
        <v>61320</v>
      </c>
      <c r="J12" s="93">
        <f>J11*24*365</f>
        <v>70753.846153846156</v>
      </c>
    </row>
    <row r="13" spans="3:12" ht="15" customHeight="1" x14ac:dyDescent="0.25">
      <c r="C13" s="20"/>
      <c r="D13" s="20"/>
      <c r="E13" s="76"/>
      <c r="F13" s="9"/>
      <c r="G13" s="9"/>
      <c r="H13" s="76"/>
      <c r="I13" s="9"/>
      <c r="J13" s="89"/>
    </row>
    <row r="14" spans="3:12" ht="15" customHeight="1" x14ac:dyDescent="0.25">
      <c r="C14" s="8" t="s">
        <v>108</v>
      </c>
      <c r="D14" s="5" t="s">
        <v>106</v>
      </c>
      <c r="E14" s="82">
        <v>1.5</v>
      </c>
      <c r="F14" s="74">
        <v>1.5</v>
      </c>
      <c r="G14" s="74">
        <v>1.5</v>
      </c>
      <c r="H14" s="82">
        <v>1.5</v>
      </c>
      <c r="I14" s="14">
        <v>1.5</v>
      </c>
      <c r="J14" s="94">
        <v>1.5</v>
      </c>
    </row>
    <row r="15" spans="3:12" ht="15" customHeight="1" x14ac:dyDescent="0.25">
      <c r="C15" s="8" t="s">
        <v>107</v>
      </c>
      <c r="D15" s="5" t="s">
        <v>42</v>
      </c>
      <c r="E15" s="76">
        <f t="shared" ref="E15:J15" si="3">IF(INT(E14*1000000/E12)&lt;&gt;E14*1000000/E12,INT(E14*1000000/E12+1),E14*1000000/E12)</f>
        <v>23</v>
      </c>
      <c r="F15" s="9">
        <f t="shared" si="3"/>
        <v>20</v>
      </c>
      <c r="G15" s="9">
        <f t="shared" si="3"/>
        <v>16</v>
      </c>
      <c r="H15" s="76">
        <f t="shared" si="3"/>
        <v>29</v>
      </c>
      <c r="I15" s="9">
        <f t="shared" si="3"/>
        <v>25</v>
      </c>
      <c r="J15" s="89">
        <f t="shared" si="3"/>
        <v>22</v>
      </c>
    </row>
    <row r="16" spans="3:12" ht="15" customHeight="1" x14ac:dyDescent="0.25">
      <c r="C16" s="64" t="s">
        <v>11</v>
      </c>
      <c r="D16" s="65" t="s">
        <v>68</v>
      </c>
      <c r="E16" s="83">
        <v>655</v>
      </c>
      <c r="F16" s="66">
        <v>650</v>
      </c>
      <c r="G16" s="66">
        <v>720</v>
      </c>
      <c r="H16" s="83">
        <v>600</v>
      </c>
      <c r="I16" s="66">
        <v>600</v>
      </c>
      <c r="J16" s="95">
        <v>600</v>
      </c>
    </row>
    <row r="17" spans="3:10" ht="15" customHeight="1" x14ac:dyDescent="0.25">
      <c r="C17" s="8" t="s">
        <v>17</v>
      </c>
      <c r="D17" s="5" t="s">
        <v>68</v>
      </c>
      <c r="E17" s="81">
        <f>E15*E16</f>
        <v>15065</v>
      </c>
      <c r="F17" s="7">
        <f t="shared" ref="F17:G17" si="4">F15*F16</f>
        <v>13000</v>
      </c>
      <c r="G17" s="7">
        <f t="shared" si="4"/>
        <v>11520</v>
      </c>
      <c r="H17" s="81">
        <f>H15*H16</f>
        <v>17400</v>
      </c>
      <c r="I17" s="7">
        <f>I15*I16</f>
        <v>15000</v>
      </c>
      <c r="J17" s="93">
        <f>J15*J16</f>
        <v>13200</v>
      </c>
    </row>
    <row r="18" spans="3:10" ht="15" customHeight="1" x14ac:dyDescent="0.25">
      <c r="C18" s="8"/>
      <c r="D18" s="20"/>
      <c r="E18" s="2"/>
      <c r="F18" s="2"/>
      <c r="G18" s="2"/>
      <c r="H18" s="2"/>
    </row>
    <row r="19" spans="3:10" ht="15" customHeight="1" x14ac:dyDescent="0.25">
      <c r="C19" s="12" t="s">
        <v>18</v>
      </c>
      <c r="D19" s="22"/>
      <c r="E19" s="75">
        <f>(E17-H17)/E17</f>
        <v>-0.15499502157318287</v>
      </c>
      <c r="F19" s="75">
        <f t="shared" ref="F19:G19" si="5">(F17-I17)/F17</f>
        <v>-0.15384615384615385</v>
      </c>
      <c r="G19" s="26">
        <f t="shared" si="5"/>
        <v>-0.14583333333333334</v>
      </c>
      <c r="H19" s="25"/>
    </row>
    <row r="22" spans="3:10" ht="15" customHeight="1" x14ac:dyDescent="0.25">
      <c r="E22" s="98"/>
      <c r="F22" s="98"/>
      <c r="G22" s="98"/>
    </row>
    <row r="23" spans="3:10" ht="15" customHeight="1" x14ac:dyDescent="0.25">
      <c r="E23" s="99"/>
      <c r="F23" s="99"/>
      <c r="G23" s="99"/>
    </row>
  </sheetData>
  <phoneticPr fontId="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2361-BE2C-41B5-BEC9-2995EA867A41}">
  <dimension ref="C2:H29"/>
  <sheetViews>
    <sheetView topLeftCell="B1" workbookViewId="0">
      <selection activeCell="K32" sqref="K32"/>
    </sheetView>
  </sheetViews>
  <sheetFormatPr defaultRowHeight="15" x14ac:dyDescent="0.25"/>
  <cols>
    <col min="1" max="2" width="9.140625" style="1"/>
    <col min="3" max="3" width="28" style="1" customWidth="1"/>
    <col min="4" max="4" width="11.140625" style="1" customWidth="1"/>
    <col min="5" max="5" width="12.42578125" style="1" customWidth="1"/>
    <col min="6" max="6" width="13.28515625" style="1" customWidth="1"/>
    <col min="7" max="16384" width="9.140625" style="1"/>
  </cols>
  <sheetData>
    <row r="2" spans="3:8" ht="15" customHeight="1" x14ac:dyDescent="0.25">
      <c r="C2" s="16"/>
      <c r="D2" s="17"/>
      <c r="E2" s="17"/>
      <c r="F2" s="17"/>
    </row>
    <row r="3" spans="3:8" ht="15" customHeight="1" x14ac:dyDescent="0.25">
      <c r="C3" s="100" t="s">
        <v>55</v>
      </c>
      <c r="D3" s="101" t="s">
        <v>21</v>
      </c>
      <c r="E3" s="6" t="s">
        <v>56</v>
      </c>
      <c r="F3" s="23"/>
      <c r="H3" s="127" t="s">
        <v>135</v>
      </c>
    </row>
    <row r="4" spans="3:8" ht="15" customHeight="1" x14ac:dyDescent="0.25">
      <c r="C4" s="102" t="s">
        <v>75</v>
      </c>
      <c r="D4" s="103" t="s">
        <v>65</v>
      </c>
      <c r="E4" s="104">
        <v>100</v>
      </c>
      <c r="F4" s="23"/>
    </row>
    <row r="5" spans="3:8" ht="15" customHeight="1" x14ac:dyDescent="0.25">
      <c r="C5" s="102" t="s">
        <v>74</v>
      </c>
      <c r="D5" s="103" t="s">
        <v>42</v>
      </c>
      <c r="E5" s="105">
        <v>20</v>
      </c>
      <c r="F5" s="23"/>
    </row>
    <row r="6" spans="3:8" ht="15" customHeight="1" x14ac:dyDescent="0.25">
      <c r="C6" s="102" t="s">
        <v>57</v>
      </c>
      <c r="D6" s="103" t="s">
        <v>60</v>
      </c>
      <c r="E6" s="105">
        <f>E4*E5</f>
        <v>2000</v>
      </c>
      <c r="F6" s="23"/>
    </row>
    <row r="7" spans="3:8" ht="15" customHeight="1" x14ac:dyDescent="0.25">
      <c r="C7" s="102" t="s">
        <v>58</v>
      </c>
      <c r="D7" s="103" t="s">
        <v>60</v>
      </c>
      <c r="E7" s="105">
        <v>4000</v>
      </c>
      <c r="F7" s="23"/>
    </row>
    <row r="8" spans="3:8" ht="15" customHeight="1" x14ac:dyDescent="0.25">
      <c r="C8" s="106" t="s">
        <v>59</v>
      </c>
      <c r="D8" s="107" t="s">
        <v>60</v>
      </c>
      <c r="E8" s="108">
        <f>E7-E6</f>
        <v>2000</v>
      </c>
      <c r="F8" s="23"/>
    </row>
    <row r="9" spans="3:8" ht="15" customHeight="1" x14ac:dyDescent="0.25">
      <c r="C9" s="102"/>
      <c r="D9" s="103"/>
      <c r="E9" s="104"/>
      <c r="F9" s="23"/>
    </row>
    <row r="10" spans="3:8" ht="15" customHeight="1" x14ac:dyDescent="0.25">
      <c r="C10" s="102"/>
      <c r="D10" s="103"/>
      <c r="E10" s="104"/>
      <c r="F10" s="109"/>
    </row>
    <row r="11" spans="3:8" s="18" customFormat="1" ht="15" customHeight="1" x14ac:dyDescent="0.25">
      <c r="C11" s="110"/>
      <c r="D11" s="31" t="s">
        <v>21</v>
      </c>
      <c r="E11" s="32" t="s">
        <v>70</v>
      </c>
      <c r="F11" s="84" t="s">
        <v>63</v>
      </c>
    </row>
    <row r="12" spans="3:8" ht="15" customHeight="1" x14ac:dyDescent="0.25">
      <c r="C12" s="111" t="s">
        <v>64</v>
      </c>
      <c r="D12" s="103" t="s">
        <v>60</v>
      </c>
      <c r="E12" s="105">
        <v>125</v>
      </c>
      <c r="F12" s="112">
        <v>125</v>
      </c>
    </row>
    <row r="13" spans="3:8" ht="15" customHeight="1" x14ac:dyDescent="0.25">
      <c r="C13" s="102"/>
      <c r="D13" s="103"/>
      <c r="E13" s="105"/>
      <c r="F13" s="112"/>
    </row>
    <row r="14" spans="3:8" ht="15" customHeight="1" x14ac:dyDescent="0.25">
      <c r="C14" s="102" t="s">
        <v>72</v>
      </c>
      <c r="D14" s="103" t="s">
        <v>42</v>
      </c>
      <c r="E14" s="105">
        <f>MIN((ROUNDUP(E8/(E12-E4),0)),E5)</f>
        <v>20</v>
      </c>
      <c r="F14" s="112" t="s">
        <v>35</v>
      </c>
    </row>
    <row r="15" spans="3:8" ht="15" customHeight="1" x14ac:dyDescent="0.25">
      <c r="C15" s="102" t="s">
        <v>66</v>
      </c>
      <c r="D15" s="103" t="s">
        <v>42</v>
      </c>
      <c r="E15" s="105">
        <f>ROUNDUP(IF(E14=E5,(E7-(E14*E12))/E12,0),0)</f>
        <v>12</v>
      </c>
      <c r="F15" s="112">
        <f>ROUNDUP(E8/F12,0)</f>
        <v>16</v>
      </c>
    </row>
    <row r="16" spans="3:8" ht="15" customHeight="1" x14ac:dyDescent="0.25">
      <c r="C16" s="102"/>
      <c r="D16" s="103"/>
      <c r="E16" s="105"/>
      <c r="F16" s="112"/>
    </row>
    <row r="17" spans="3:6" ht="15" customHeight="1" x14ac:dyDescent="0.25">
      <c r="C17" s="102" t="s">
        <v>67</v>
      </c>
      <c r="D17" s="103" t="s">
        <v>68</v>
      </c>
      <c r="E17" s="105">
        <v>4800</v>
      </c>
      <c r="F17" s="112">
        <v>4500</v>
      </c>
    </row>
    <row r="18" spans="3:6" ht="15" customHeight="1" x14ac:dyDescent="0.25">
      <c r="C18" s="102" t="s">
        <v>69</v>
      </c>
      <c r="D18" s="103" t="s">
        <v>68</v>
      </c>
      <c r="E18" s="105">
        <v>600</v>
      </c>
      <c r="F18" s="112" t="s">
        <v>35</v>
      </c>
    </row>
    <row r="19" spans="3:6" ht="15" customHeight="1" x14ac:dyDescent="0.25">
      <c r="C19" s="102"/>
      <c r="D19" s="103"/>
      <c r="E19" s="105"/>
      <c r="F19" s="112"/>
    </row>
    <row r="20" spans="3:6" ht="15" customHeight="1" x14ac:dyDescent="0.25">
      <c r="C20" s="102" t="s">
        <v>73</v>
      </c>
      <c r="D20" s="103" t="s">
        <v>68</v>
      </c>
      <c r="E20" s="105">
        <f>E17*E15</f>
        <v>57600</v>
      </c>
      <c r="F20" s="112">
        <f>F17*F15</f>
        <v>72000</v>
      </c>
    </row>
    <row r="21" spans="3:6" ht="15" customHeight="1" x14ac:dyDescent="0.25">
      <c r="C21" s="102" t="s">
        <v>71</v>
      </c>
      <c r="D21" s="103" t="s">
        <v>68</v>
      </c>
      <c r="E21" s="105">
        <f>E18*E14</f>
        <v>12000</v>
      </c>
      <c r="F21" s="112" t="s">
        <v>35</v>
      </c>
    </row>
    <row r="22" spans="3:6" ht="15" customHeight="1" x14ac:dyDescent="0.25">
      <c r="C22" s="106" t="s">
        <v>61</v>
      </c>
      <c r="D22" s="107" t="s">
        <v>68</v>
      </c>
      <c r="E22" s="108">
        <f>E20+E21</f>
        <v>69600</v>
      </c>
      <c r="F22" s="113">
        <f>F20</f>
        <v>72000</v>
      </c>
    </row>
    <row r="23" spans="3:6" ht="15" customHeight="1" x14ac:dyDescent="0.25">
      <c r="C23" s="102" t="s">
        <v>62</v>
      </c>
      <c r="D23" s="103" t="s">
        <v>68</v>
      </c>
      <c r="E23" s="104">
        <f>F22-E22</f>
        <v>2400</v>
      </c>
      <c r="F23" s="104"/>
    </row>
    <row r="24" spans="3:6" ht="15" customHeight="1" x14ac:dyDescent="0.25"/>
    <row r="25" spans="3:6" ht="15" customHeight="1" x14ac:dyDescent="0.25"/>
    <row r="26" spans="3:6" ht="15" customHeight="1" x14ac:dyDescent="0.25"/>
    <row r="27" spans="3:6" x14ac:dyDescent="0.25">
      <c r="E27" s="19"/>
      <c r="F27" s="19"/>
    </row>
    <row r="29" spans="3:6" x14ac:dyDescent="0.25">
      <c r="E29" s="19"/>
      <c r="F29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Terms of Use</vt:lpstr>
      <vt:lpstr>Paint Examples</vt:lpstr>
      <vt:lpstr>Simple Value Models</vt:lpstr>
      <vt:lpstr>Other Value Models</vt:lpstr>
      <vt:lpstr>Value Roadmap</vt:lpstr>
      <vt:lpstr>Upgrades Value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2023-08-28T18:22:49Z</dcterms:created>
  <dcterms:modified xsi:type="dcterms:W3CDTF">2023-08-28T19:00:30Z</dcterms:modified>
</cp:coreProperties>
</file>